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6335" windowHeight="8070" tabRatio="863" activeTab="0"/>
  </bookViews>
  <sheets>
    <sheet name="Obligated funds" sheetId="1" r:id="rId1"/>
    <sheet name="Managment Office" sheetId="2" r:id="rId2"/>
    <sheet name="BUDGET V EXPENSE" sheetId="3" r:id="rId3"/>
    <sheet name="COST SHARE" sheetId="4" r:id="rId4"/>
    <sheet name="Dir V INDIRECT EXPENSES" sheetId="5" r:id="rId5"/>
    <sheet name="Capacity Building" sheetId="6" r:id="rId6"/>
    <sheet name="MO" sheetId="7" r:id="rId7"/>
    <sheet name="Cornell Univ." sheetId="8" r:id="rId8"/>
    <sheet name="Penn State" sheetId="9" r:id="rId9"/>
    <sheet name="MSU Bernsten" sheetId="10" r:id="rId10"/>
    <sheet name="UPR" sheetId="11" r:id="rId11"/>
    <sheet name="UCR" sheetId="12" r:id="rId12"/>
    <sheet name="MSU Kelly" sheetId="13" r:id="rId13"/>
    <sheet name="UIUC" sheetId="14" r:id="rId14"/>
    <sheet name="ISU" sheetId="15" r:id="rId15"/>
    <sheet name="Contractual Data Timeline" sheetId="16" r:id="rId16"/>
  </sheets>
  <definedNames>
    <definedName name="_xlnm.Print_Area" localSheetId="2">'BUDGET V EXPENSE'!$A$1:$G$33</definedName>
    <definedName name="_xlnm.Print_Area" localSheetId="5">'Capacity Building'!$A$1:$G$20</definedName>
    <definedName name="_xlnm.Print_Area" localSheetId="15">'Contractual Data Timeline'!$A$1:$D$44</definedName>
    <definedName name="_xlnm.Print_Area" localSheetId="7">'Cornell Univ.'!$A$1:$L$34</definedName>
    <definedName name="_xlnm.Print_Area" localSheetId="3">'COST SHARE'!$A$1:$G$39</definedName>
    <definedName name="_xlnm.Print_Area" localSheetId="4">'Dir V INDIRECT EXPENSES'!$A$1:$F$33</definedName>
    <definedName name="_xlnm.Print_Area" localSheetId="14">'ISU'!#REF!</definedName>
    <definedName name="_xlnm.Print_Area" localSheetId="1">'Managment Office'!$A$1:$E$31</definedName>
    <definedName name="_xlnm.Print_Area" localSheetId="9">'MSU Bernsten'!$A$1:$M$34</definedName>
    <definedName name="_xlnm.Print_Area" localSheetId="12">'MSU Kelly'!$A$1:$M$34</definedName>
    <definedName name="_xlnm.Print_Area" localSheetId="0">'Obligated funds'!$A$1:$D$32</definedName>
    <definedName name="_xlnm.Print_Area" localSheetId="8">'Penn State'!$A$1:$M$34</definedName>
    <definedName name="_xlnm.Print_Area" localSheetId="11">'UCR'!#REF!</definedName>
    <definedName name="_xlnm.Print_Area" localSheetId="13">'UIUC'!#REF!</definedName>
    <definedName name="_xlnm.Print_Area" localSheetId="10">'UPR'!#REF!</definedName>
  </definedNames>
  <calcPr fullCalcOnLoad="1"/>
</workbook>
</file>

<file path=xl/sharedStrings.xml><?xml version="1.0" encoding="utf-8"?>
<sst xmlns="http://schemas.openxmlformats.org/spreadsheetml/2006/main" count="344" uniqueCount="186">
  <si>
    <t>Total</t>
  </si>
  <si>
    <t>CORNELL UNIVERSITY</t>
  </si>
  <si>
    <t>UNIVERSITY OF ILLINOIS</t>
  </si>
  <si>
    <t>PENN STATE</t>
  </si>
  <si>
    <t>MSU- BERNSTEN</t>
  </si>
  <si>
    <t>MSU- KELLY</t>
  </si>
  <si>
    <t>UNIV. CALIFORNIA</t>
  </si>
  <si>
    <t>UNIV. PUERTO RICO</t>
  </si>
  <si>
    <t>% REPORTED SPENT</t>
  </si>
  <si>
    <t>% TO BE SPENT</t>
  </si>
  <si>
    <t>BUDGET                  4/1/08 - 9/30/09</t>
  </si>
  <si>
    <t>BALANCE</t>
  </si>
  <si>
    <t>% DIRECT</t>
  </si>
  <si>
    <t>% INDIRECT</t>
  </si>
  <si>
    <t>4/1/08-6/30/08</t>
  </si>
  <si>
    <t>7/1/08-9/30/08</t>
  </si>
  <si>
    <t>10/1/08-12/31/08</t>
  </si>
  <si>
    <t>1/1/09-3/31/09</t>
  </si>
  <si>
    <t>4/1/09-6/30/09</t>
  </si>
  <si>
    <t>7/1/09-9/30/09</t>
  </si>
  <si>
    <t>Date</t>
  </si>
  <si>
    <t>Actual Expenses</t>
  </si>
  <si>
    <t xml:space="preserve">Budgeted Expenses </t>
  </si>
  <si>
    <t>HC EXP                             4/1/08 - 2/28/09</t>
  </si>
  <si>
    <t>U.S INST. EXP.                     4/1/08-2/28/09</t>
  </si>
  <si>
    <t>REQUIRED COST SHARE                 4/1/08-9/30/09</t>
  </si>
  <si>
    <t>DRY GRAIN PULSES CRSP</t>
  </si>
  <si>
    <t>APRIL 1, 2008 - FEBRUARY 28, 2009</t>
  </si>
  <si>
    <t>REPORTED COST SHARE  4/1/08-2/28/09</t>
  </si>
  <si>
    <t>DIRECT EXPENSES                     4/1/08-2/28/09</t>
  </si>
  <si>
    <t>INDIRECT EXPENSE                             4/1/08 -2/28/09</t>
  </si>
  <si>
    <t>COMPARISON OF PROJECTS BUDGET TO EXPENDITURES</t>
  </si>
  <si>
    <t>COMPARISON OF REQUIRED TO REPORTED COST SHARE</t>
  </si>
  <si>
    <t>Modification 1</t>
  </si>
  <si>
    <t>FY 08 &amp; 09 Capacity Building Funds</t>
  </si>
  <si>
    <t>Obligated Funds from USAID to MSU</t>
  </si>
  <si>
    <t>Amount</t>
  </si>
  <si>
    <t xml:space="preserve">Subagreement </t>
  </si>
  <si>
    <t>Obligated funds to subcontractors</t>
  </si>
  <si>
    <t>04/01/08-09/30/08</t>
  </si>
  <si>
    <t>10/01/08-09/30/09</t>
  </si>
  <si>
    <t>04/01/08-09/30/09</t>
  </si>
  <si>
    <t>Available unobligated funds (Forward Funding)</t>
  </si>
  <si>
    <t>FY 09 Obligations</t>
  </si>
  <si>
    <t>Total obligations from USAID</t>
  </si>
  <si>
    <t>FY 08 Obligations plus IDC</t>
  </si>
  <si>
    <t>SUMMARY of Recommendations by TMAC (August 27, 2008)</t>
  </si>
  <si>
    <t>Proposals to Enhance HC Institutional Capacity Building (FY 2009)</t>
  </si>
  <si>
    <t>Proposal Overview</t>
  </si>
  <si>
    <t>Proposal #</t>
  </si>
  <si>
    <t>Beneficiary Host Country Institution</t>
  </si>
  <si>
    <t>Proposed Activity</t>
  </si>
  <si>
    <t>Total Budget Requested</t>
  </si>
  <si>
    <t>Amount of funding approved</t>
  </si>
  <si>
    <t>Comments</t>
  </si>
  <si>
    <t>Kenya Agriculture Research Institute(KARI)</t>
  </si>
  <si>
    <t xml:space="preserve">Strengthening communications b/t Nat'l Institution &amp; Cornell Univ., Training for lab services, Foster Closer Collaboration b/t KARI &amp; Univs., Capacity building through farmer-research-student exchange, Conference participation.  </t>
  </si>
  <si>
    <t>Fully fund Activities 1 (Strengthening Communications) and 2 (Training of lab services), partial support for Activity 3 (training of two M.Sc. Students plus travel expenses for two supervisors but no supervisor allowances, 50% funding for Activity 4 (Exchange Visits) and no funding for Activity 5 (Conferences)</t>
  </si>
  <si>
    <t>Kigali Institute of Science &amp; Technology (KIST), Rwanda</t>
  </si>
  <si>
    <t>Product development &amp; shelf stability, purchase rapid nutrient analyzer to facilitate direct comparisons b/t KIST &amp; Makerere Univ.</t>
  </si>
  <si>
    <t>Fund the budget as requested</t>
  </si>
  <si>
    <t>Iowa State</t>
  </si>
  <si>
    <t>Makerere University, Uganda</t>
  </si>
  <si>
    <t>Purchase rapid nutrient analyzer &amp; lab scale extruder, contribute to capacity building for KIST in Rwanda via co-supervision of KIST student  &amp; coordination of KIST activities in Uganda</t>
  </si>
  <si>
    <t>Fund all the activities except the line items for Coordinator and Pilot Scale Extruder</t>
  </si>
  <si>
    <t>Institut des Sciences Agronomiques du Rwanda (ISAR)</t>
  </si>
  <si>
    <t>Organize visit of Louis Butare (bean breeder at ISAR) to Ecuador to interact w/bean breeders in INIAP with visits to bush bean and climbing bean production sites</t>
  </si>
  <si>
    <t xml:space="preserve">Ecuador </t>
  </si>
  <si>
    <t>Purchase a truck to facilitate substantial in-country movements to conduct reseach, surveys, trainings &amp; trials</t>
  </si>
  <si>
    <t>Instituto de Investigacão Agronómica (IIA), Angola</t>
  </si>
  <si>
    <t>Purchase equipment &amp; a vehicle for IIA research station at Huambo</t>
  </si>
  <si>
    <t>Only Fund:  Vehicle, one balanca de precisao, and pH meter</t>
  </si>
  <si>
    <t>UCR</t>
  </si>
  <si>
    <t>Institut de l'environnment et de recherches Agricoles (INERA), Burkina Faso</t>
  </si>
  <si>
    <t>Repair vehicle for field research, equip weather station at Pobe Mengao, scientific-training visit to Senegal</t>
  </si>
  <si>
    <t>ISRA, Senegal</t>
  </si>
  <si>
    <t>Purchase vehicle to facilitate research</t>
  </si>
  <si>
    <t>l'Institut National de la  Recherche Agronomique du Niger, Institut de l'Environment et des Recherches Agricole, Institute for Ag. Research, Institut d'Economie Rurale, International Institute of Tropical Ag. (West Africa)</t>
  </si>
  <si>
    <r>
      <t xml:space="preserve">Training of biological control techniques and development of strategies to control </t>
    </r>
    <r>
      <rPr>
        <i/>
        <sz val="10"/>
        <rFont val="Arial"/>
        <family val="2"/>
      </rPr>
      <t xml:space="preserve">Maruca vitrata, </t>
    </r>
    <r>
      <rPr>
        <sz val="10"/>
        <rFont val="Arial"/>
        <family val="2"/>
      </rPr>
      <t>promote Neem-based control strategies of cowpea pests in Mali</t>
    </r>
  </si>
  <si>
    <t>Only fund: biological control training activity (budget for IITA) and Farmer Field School activity (budget for IER)</t>
  </si>
  <si>
    <t>UIUC</t>
  </si>
  <si>
    <t>Repair greenhouse facilities &amp; purchase equipment for IIA research station at Huambo</t>
  </si>
  <si>
    <t>Only fund: Greenhouse repairs, autoclave with accessories, and $6000 for microscope with camera</t>
  </si>
  <si>
    <t>UPR</t>
  </si>
  <si>
    <t>Escuela Agrícola Panamericano (Zamorano), Honduras</t>
  </si>
  <si>
    <t>One-week workshop to include review plant-breeding, field research and lab procedures</t>
  </si>
  <si>
    <t>Fund as requested plus an additional $ 3,725 to include cowpea component in the training workshop</t>
  </si>
  <si>
    <t>Total approved funding</t>
  </si>
  <si>
    <t>Difference</t>
  </si>
  <si>
    <t>Discretionary funds for MO</t>
  </si>
  <si>
    <t>Obligation of funds from USAID to MSU</t>
  </si>
  <si>
    <t>Obligation of funds to subcontractors by MSU</t>
  </si>
  <si>
    <t xml:space="preserve">Cornell </t>
  </si>
  <si>
    <t>MSU (Kelly)</t>
  </si>
  <si>
    <t>STATEMENT OF FUNDS RECEIVED FROM USAID AND OBLIGATIONS TO SUBCONTRACTORS</t>
  </si>
  <si>
    <t>OCTOBER 1, 2007 - SEPTEMBER 30, 2009</t>
  </si>
  <si>
    <t>*MANAGEMENT OFFICE (10/01/07)</t>
  </si>
  <si>
    <t>* Management Office first day of operation was October 1, 2007</t>
  </si>
  <si>
    <t>*MANAGEMENT OFFICE</t>
  </si>
  <si>
    <t>Description</t>
  </si>
  <si>
    <t>Budget 10/1/07-9/30/08</t>
  </si>
  <si>
    <t>Budget 10/1/08-9/30/09</t>
  </si>
  <si>
    <t>Balance</t>
  </si>
  <si>
    <t>Fringe benefits</t>
  </si>
  <si>
    <t>Contractual Services</t>
  </si>
  <si>
    <t>Indirect Cost</t>
  </si>
  <si>
    <t>COMPARISON OF MANAGEMENT OFFICE BUDGET TO EXPENDITURES</t>
  </si>
  <si>
    <t xml:space="preserve">Salary </t>
  </si>
  <si>
    <t>Expenses as of 02/28/09</t>
  </si>
  <si>
    <t>IOWA STATE UNIVERSITY</t>
  </si>
  <si>
    <t>* Management Office Cost Share is from October 1, 2007 through February 28, 2009</t>
  </si>
  <si>
    <t>Program Cost Share</t>
  </si>
  <si>
    <t>Required                      10/1/07- 9/30/09</t>
  </si>
  <si>
    <t>Reported                   10/1/07-02/28/09</t>
  </si>
  <si>
    <t>10/1/07-12/31/07</t>
  </si>
  <si>
    <t>1/1/08-3/31/08</t>
  </si>
  <si>
    <t>COMPARISON OF MANAGEMENT OFFICE BUDGETED EXPENSES TO ACTUAL EXPENSES</t>
  </si>
  <si>
    <t>OCTOBER 1, 2007 - FEBRUARY 28, 2009</t>
  </si>
  <si>
    <t>* Management Office expenses are from October 1, 2007 through February 28, 2009</t>
  </si>
  <si>
    <t>MICHIGAN STATE UNIVERSITY- BERNSTEN</t>
  </si>
  <si>
    <t>UNIVERSITY OF PUERTO RICO</t>
  </si>
  <si>
    <t>MICHIGAN STATE UNIVERSITY- KELLY</t>
  </si>
  <si>
    <t>PENNSYLVANIA  STATE UNIVERSITY</t>
  </si>
  <si>
    <t>UNIVERSITY OF CALIFORNIA - RIVERSIDE</t>
  </si>
  <si>
    <t>Supplies &amp; Materials</t>
  </si>
  <si>
    <t>Travel (Includes Global PI Meeting in Barcelona &amp; TMAC Meetings)</t>
  </si>
  <si>
    <t>COMPARISON OF PROJECT DIRECT &amp; INDIRECT EXPENSES</t>
  </si>
  <si>
    <t>Budget10/1/07-9/30/09</t>
  </si>
  <si>
    <t>Expenses 10/1/07-2/28/09</t>
  </si>
  <si>
    <t>Cornell University</t>
  </si>
  <si>
    <t>Cost reimbursable contract was signed</t>
  </si>
  <si>
    <t>Pennsylvania State University</t>
  </si>
  <si>
    <t>EAP (Honduras)</t>
  </si>
  <si>
    <t>IIAM (Mozambique)</t>
  </si>
  <si>
    <t>Michigan State University (Bernsten)</t>
  </si>
  <si>
    <t>IIA (Angola)</t>
  </si>
  <si>
    <t>University of Puerto Rico</t>
  </si>
  <si>
    <t>USDA</t>
  </si>
  <si>
    <t>University of California - Riverside</t>
  </si>
  <si>
    <t>INERA (Burkina Faso)</t>
  </si>
  <si>
    <t>ISRA (Senegal)</t>
  </si>
  <si>
    <t>Michigan State University (Kelly)</t>
  </si>
  <si>
    <t>INIAP (Ecuador)</t>
  </si>
  <si>
    <t>University of Illinois</t>
  </si>
  <si>
    <t>INRAN (Niger)</t>
  </si>
  <si>
    <t>IAR (Nigeria)</t>
  </si>
  <si>
    <t>Iowa State Univeresity</t>
  </si>
  <si>
    <t>Fixed Price contract was finilized</t>
  </si>
  <si>
    <t>U.S Institution Subcontractor</t>
  </si>
  <si>
    <t>Sub Subcontractors</t>
  </si>
  <si>
    <t>CONTRACTUAL DATA TIMELINE</t>
  </si>
  <si>
    <t>ISAR (Rwanda)</t>
  </si>
  <si>
    <t>KARI (Kenya)</t>
  </si>
  <si>
    <t>Universidade Agostinho Neto (Angola)</t>
  </si>
  <si>
    <t>Ministry of Agriculture (Haiti)</t>
  </si>
  <si>
    <t>KIST (Rwanda)</t>
  </si>
  <si>
    <t>MAKARERE (Uganda)</t>
  </si>
  <si>
    <t>NaCRRI (Uganda)</t>
  </si>
  <si>
    <t>VEDCO (Uganda)</t>
  </si>
  <si>
    <t>DRY GRAIN PULSES CRSP (October 1,2007 - September 30, 2012)</t>
  </si>
  <si>
    <t>PHASE I PROJECTS</t>
  </si>
  <si>
    <t>April 6,2008</t>
  </si>
  <si>
    <t>May 15,2008</t>
  </si>
  <si>
    <t>June 30,2008</t>
  </si>
  <si>
    <t>May 9,2008</t>
  </si>
  <si>
    <t>September 12,2008</t>
  </si>
  <si>
    <t>June 12,2008</t>
  </si>
  <si>
    <t>May 20,2008</t>
  </si>
  <si>
    <t>June 3,2008</t>
  </si>
  <si>
    <t>April 21,2008</t>
  </si>
  <si>
    <t>March 2,2008</t>
  </si>
  <si>
    <t>June 2,2008</t>
  </si>
  <si>
    <t>May 23,2008</t>
  </si>
  <si>
    <t>June 28,2008</t>
  </si>
  <si>
    <t>September 29,2008</t>
  </si>
  <si>
    <t>February 3,2009</t>
  </si>
  <si>
    <t>April 16,2008</t>
  </si>
  <si>
    <t>May 22,2008</t>
  </si>
  <si>
    <t>May 8,2008</t>
  </si>
  <si>
    <t>September 28,2008</t>
  </si>
  <si>
    <t>September 1,2008</t>
  </si>
  <si>
    <t>September 22,2008</t>
  </si>
  <si>
    <t>April 7,2008</t>
  </si>
  <si>
    <t>June 4,2008</t>
  </si>
  <si>
    <t>June 6,2008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</si>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</sst>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_);[Red]\([$$-409]#,##0.00\)"/>
    <numFmt numFmtId="166" formatCode="#,##0.0_);[Red]\(#,##0.0\)"/>
    <numFmt numFmtId="167" formatCode="&quot;$&quot;#,##0.00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7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i/>
      <sz val="9"/>
      <name val="Univers"/>
      <family val="2"/>
    </font>
    <font>
      <sz val="10.5"/>
      <name val="Univers"/>
      <family val="2"/>
    </font>
    <font>
      <u val="single"/>
      <sz val="10.5"/>
      <name val="Univers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5.25"/>
      <color indexed="8"/>
      <name val="Arial"/>
      <family val="0"/>
    </font>
    <font>
      <sz val="14"/>
      <color indexed="8"/>
      <name val="Arial"/>
      <family val="0"/>
    </font>
    <font>
      <sz val="2.25"/>
      <color indexed="8"/>
      <name val="Arial"/>
      <family val="0"/>
    </font>
    <font>
      <sz val="15"/>
      <color indexed="8"/>
      <name val="Arial"/>
      <family val="0"/>
    </font>
    <font>
      <sz val="13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b/>
      <sz val="13.5"/>
      <color indexed="8"/>
      <name val="Arial"/>
      <family val="0"/>
    </font>
    <font>
      <b/>
      <sz val="10.75"/>
      <color indexed="8"/>
      <name val="Arial"/>
      <family val="0"/>
    </font>
    <font>
      <b/>
      <sz val="15"/>
      <color indexed="8"/>
      <name val="Arial"/>
      <family val="0"/>
    </font>
    <font>
      <b/>
      <sz val="15.25"/>
      <color indexed="8"/>
      <name val="Arial"/>
      <family val="0"/>
    </font>
    <font>
      <b/>
      <sz val="18.25"/>
      <color indexed="8"/>
      <name val="Arial"/>
      <family val="0"/>
    </font>
    <font>
      <b/>
      <sz val="2.5"/>
      <color indexed="8"/>
      <name val="Arial"/>
      <family val="0"/>
    </font>
    <font>
      <b/>
      <sz val="14.5"/>
      <color indexed="8"/>
      <name val="Arial"/>
      <family val="0"/>
    </font>
    <font>
      <b/>
      <sz val="18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40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9" fontId="0" fillId="0" borderId="10" xfId="0" applyNumberFormat="1" applyBorder="1" applyAlignment="1">
      <alignment horizontal="center"/>
    </xf>
    <xf numFmtId="40" fontId="0" fillId="0" borderId="17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40" fontId="0" fillId="0" borderId="10" xfId="0" applyNumberForma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9" fontId="0" fillId="0" borderId="20" xfId="59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14" fontId="0" fillId="0" borderId="0" xfId="0" applyNumberFormat="1" applyAlignment="1">
      <alignment horizontal="right"/>
    </xf>
    <xf numFmtId="44" fontId="0" fillId="0" borderId="0" xfId="44" applyAlignment="1">
      <alignment/>
    </xf>
    <xf numFmtId="44" fontId="0" fillId="0" borderId="0" xfId="44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0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0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4" fontId="1" fillId="0" borderId="21" xfId="0" applyNumberFormat="1" applyFont="1" applyBorder="1" applyAlignment="1">
      <alignment/>
    </xf>
    <xf numFmtId="4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0" fontId="1" fillId="0" borderId="0" xfId="0" applyNumberFormat="1" applyFont="1" applyBorder="1" applyAlignment="1">
      <alignment/>
    </xf>
    <xf numFmtId="40" fontId="0" fillId="0" borderId="12" xfId="0" applyNumberFormat="1" applyBorder="1" applyAlignment="1">
      <alignment/>
    </xf>
    <xf numFmtId="40" fontId="1" fillId="0" borderId="17" xfId="0" applyNumberFormat="1" applyFont="1" applyBorder="1" applyAlignment="1">
      <alignment/>
    </xf>
    <xf numFmtId="40" fontId="1" fillId="0" borderId="18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6" xfId="0" applyFont="1" applyFill="1" applyBorder="1" applyAlignment="1">
      <alignment/>
    </xf>
    <xf numFmtId="44" fontId="0" fillId="0" borderId="10" xfId="44" applyBorder="1" applyAlignment="1">
      <alignment/>
    </xf>
    <xf numFmtId="0" fontId="0" fillId="0" borderId="17" xfId="0" applyBorder="1" applyAlignment="1">
      <alignment/>
    </xf>
    <xf numFmtId="44" fontId="1" fillId="0" borderId="18" xfId="0" applyNumberFormat="1" applyFont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0" fillId="0" borderId="12" xfId="0" applyBorder="1" applyAlignment="1">
      <alignment horizontal="center"/>
    </xf>
    <xf numFmtId="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 wrapText="1"/>
    </xf>
    <xf numFmtId="8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top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8" fontId="0" fillId="34" borderId="12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 readingOrder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0" fillId="33" borderId="12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3" fontId="0" fillId="0" borderId="0" xfId="42" applyFill="1" applyBorder="1" applyAlignment="1" quotePrefix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/>
    </xf>
    <xf numFmtId="167" fontId="1" fillId="0" borderId="12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right" vertical="center" wrapText="1"/>
    </xf>
    <xf numFmtId="167" fontId="0" fillId="0" borderId="12" xfId="0" applyNumberForma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8" fontId="0" fillId="0" borderId="12" xfId="0" applyNumberFormat="1" applyFill="1" applyBorder="1" applyAlignment="1">
      <alignment/>
    </xf>
    <xf numFmtId="0" fontId="16" fillId="0" borderId="0" xfId="0" applyFont="1" applyAlignment="1">
      <alignment horizontal="left" indent="8"/>
    </xf>
    <xf numFmtId="0" fontId="17" fillId="0" borderId="0" xfId="0" applyFont="1" applyAlignment="1">
      <alignment horizontal="left" indent="8"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0" fontId="0" fillId="0" borderId="28" xfId="0" applyNumberFormat="1" applyBorder="1" applyAlignment="1">
      <alignment/>
    </xf>
    <xf numFmtId="40" fontId="1" fillId="0" borderId="29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0" xfId="0" applyAlignment="1">
      <alignment vertical="justify" wrapText="1"/>
    </xf>
    <xf numFmtId="0" fontId="0" fillId="0" borderId="12" xfId="0" applyBorder="1" applyAlignment="1">
      <alignment vertical="justify" wrapText="1"/>
    </xf>
    <xf numFmtId="43" fontId="0" fillId="0" borderId="12" xfId="42" applyFont="1" applyBorder="1" applyAlignment="1">
      <alignment/>
    </xf>
    <xf numFmtId="43" fontId="0" fillId="0" borderId="12" xfId="42" applyFont="1" applyBorder="1" applyAlignment="1">
      <alignment vertical="center" wrapText="1"/>
    </xf>
    <xf numFmtId="0" fontId="1" fillId="0" borderId="31" xfId="0" applyFont="1" applyBorder="1" applyAlignment="1">
      <alignment/>
    </xf>
    <xf numFmtId="40" fontId="0" fillId="0" borderId="32" xfId="0" applyNumberFormat="1" applyBorder="1" applyAlignment="1">
      <alignment horizontal="center"/>
    </xf>
    <xf numFmtId="40" fontId="0" fillId="0" borderId="3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8" fontId="4" fillId="0" borderId="0" xfId="44" applyNumberFormat="1" applyFont="1" applyBorder="1" applyAlignment="1">
      <alignment horizontal="right"/>
    </xf>
    <xf numFmtId="38" fontId="5" fillId="0" borderId="0" xfId="44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38" fontId="4" fillId="0" borderId="0" xfId="44" applyNumberFormat="1" applyFont="1" applyBorder="1" applyAlignment="1">
      <alignment horizontal="right" indent="2"/>
    </xf>
    <xf numFmtId="0" fontId="1" fillId="0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9" fontId="0" fillId="0" borderId="34" xfId="59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44" applyNumberFormat="1" applyFont="1" applyAlignment="1">
      <alignment/>
    </xf>
    <xf numFmtId="0" fontId="0" fillId="0" borderId="41" xfId="0" applyBorder="1" applyAlignment="1">
      <alignment/>
    </xf>
    <xf numFmtId="9" fontId="0" fillId="0" borderId="39" xfId="0" applyNumberFormat="1" applyBorder="1" applyAlignment="1">
      <alignment/>
    </xf>
    <xf numFmtId="0" fontId="0" fillId="0" borderId="42" xfId="0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justify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0" borderId="0" xfId="0" applyFont="1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26" xfId="0" applyBorder="1" applyAlignment="1">
      <alignment vertical="center" wrapText="1"/>
    </xf>
    <xf numFmtId="0" fontId="1" fillId="0" borderId="50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3" fontId="1" fillId="0" borderId="12" xfId="42" applyFont="1" applyFill="1" applyBorder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Alignment="1">
      <alignment/>
    </xf>
    <xf numFmtId="170" fontId="0" fillId="0" borderId="0" xfId="44" applyNumberFormat="1" applyAlignment="1">
      <alignment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40" fontId="0" fillId="0" borderId="20" xfId="0" applyNumberFormat="1" applyBorder="1" applyAlignment="1">
      <alignment/>
    </xf>
    <xf numFmtId="40" fontId="1" fillId="0" borderId="34" xfId="0" applyNumberFormat="1" applyFont="1" applyBorder="1" applyAlignment="1">
      <alignment/>
    </xf>
    <xf numFmtId="40" fontId="0" fillId="0" borderId="16" xfId="0" applyNumberFormat="1" applyBorder="1" applyAlignment="1">
      <alignment/>
    </xf>
    <xf numFmtId="40" fontId="1" fillId="0" borderId="11" xfId="0" applyNumberFormat="1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1" fillId="33" borderId="27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MANAGMENT OFFICE BUDGET TO EXOENDITURES
   OCTOBER 1, 2007 - FEBRUARY 28, 2009</a:t>
            </a:r>
          </a:p>
        </c:rich>
      </c:tx>
      <c:layout>
        <c:manualLayout>
          <c:xMode val="factor"/>
          <c:yMode val="factor"/>
          <c:x val="0.0012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9925"/>
          <c:w val="0.838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'Managment Office'!$C$17</c:f>
              <c:strCache>
                <c:ptCount val="1"/>
                <c:pt idx="0">
                  <c:v>Budget10/1/07-9/30/09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'Managment Office'!$B$18:$B$23</c:f>
              <c:strCache/>
            </c:strRef>
          </c:cat>
          <c:val>
            <c:numRef>
              <c:f>'Managment Office'!$C$18:$C$23</c:f>
              <c:numCache/>
            </c:numRef>
          </c:val>
        </c:ser>
        <c:ser>
          <c:idx val="1"/>
          <c:order val="1"/>
          <c:tx>
            <c:strRef>
              <c:f>'Managment Office'!$D$17</c:f>
              <c:strCache>
                <c:ptCount val="1"/>
                <c:pt idx="0">
                  <c:v>Expenses 10/1/07-2/28/09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'Managment Office'!$B$18:$B$23</c:f>
              <c:strCache/>
            </c:strRef>
          </c:cat>
          <c:val>
            <c:numRef>
              <c:f>'Managment Office'!$D$18:$D$23</c:f>
              <c:numCache/>
            </c:numRef>
          </c:val>
        </c:ser>
        <c:ser>
          <c:idx val="2"/>
          <c:order val="2"/>
          <c:tx>
            <c:strRef>
              <c:f>'Managment Office'!$E$17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'Managment Office'!$B$18:$B$23</c:f>
              <c:strCache/>
            </c:strRef>
          </c:cat>
          <c:val>
            <c:numRef>
              <c:f>'Managment Office'!$E$18:$E$23</c:f>
              <c:numCache/>
            </c:numRef>
          </c:val>
        </c:ser>
        <c:axId val="50410788"/>
        <c:axId val="51043909"/>
      </c:bar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025"/>
          <c:w val="0.19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 budget and expenditures
 4/1/08-12/31/08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'MSU Bernsten'!#REF!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'MSU Bernsten'!#REF!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'MSU Bernsten'!#REF!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'MSU Bernsten'!#REF!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'MSU Bernsten'!#REF!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'MSU Bernsten'!#REF!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'MSU Bernsten'!#REF!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'MSU Bernsten'!#REF!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'MSU Bernsten'!#REF!</c:f>
              <c:numCache>
                <c:ptCount val="1"/>
                <c:pt idx="0">
                  <c:v>1</c:v>
                </c:pt>
              </c:numCache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23471"/>
        <c:crosses val="autoZero"/>
        <c:auto val="1"/>
        <c:lblOffset val="100"/>
        <c:tickLblSkip val="1"/>
        <c:noMultiLvlLbl val="0"/>
      </c:catAx>
      <c:valAx>
        <c:axId val="22023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budgeted expenses to actual expenses 
 PI-MSU-2 (Bernsten)
April 1, 2008- February 28, 2009</a:t>
            </a:r>
          </a:p>
        </c:rich>
      </c:tx>
      <c:layout>
        <c:manualLayout>
          <c:xMode val="factor"/>
          <c:yMode val="factor"/>
          <c:x val="0.010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75"/>
          <c:w val="0.934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'MSU Bernsten'!$C$5</c:f>
              <c:strCache>
                <c:ptCount val="1"/>
                <c:pt idx="0">
                  <c:v>Budgeted Expenses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'MSU Bernsten'!$B$6:$B$11</c:f>
              <c:strCache/>
            </c:strRef>
          </c:cat>
          <c:val>
            <c:numRef>
              <c:f>'MSU Bernsten'!$C$6:$C$11</c:f>
              <c:numCache/>
            </c:numRef>
          </c:val>
          <c:smooth val="0"/>
        </c:ser>
        <c:ser>
          <c:idx val="1"/>
          <c:order val="1"/>
          <c:tx>
            <c:strRef>
              <c:f>'MSU Bernsten'!$D$5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'MSU Bernsten'!$B$6:$B$11</c:f>
              <c:strCache/>
            </c:strRef>
          </c:cat>
          <c:val>
            <c:numRef>
              <c:f>'MSU Bernsten'!$D$6:$D$11</c:f>
              <c:numCache/>
            </c:numRef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 val="autoZero"/>
        <c:auto val="0"/>
        <c:lblOffset val="100"/>
        <c:tickLblSkip val="1"/>
        <c:noMultiLvlLbl val="0"/>
      </c:catAx>
      <c:valAx>
        <c:axId val="3907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.92675"/>
          <c:w val="0.387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 budget and expenditures
 4/1/08-12/31/08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UPR!#REF!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UPR!#REF!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UPR!#REF!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UPR!#REF!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UPR!#REF!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UPR!#REF!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UPR!#REF!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UPR!#REF!</c:f>
              <c:numCache>
                <c:ptCount val="1"/>
                <c:pt idx="0">
                  <c:v>1</c:v>
                </c:pt>
              </c:numCache>
            </c:numRef>
          </c:val>
        </c:ser>
        <c:axId val="16091954"/>
        <c:axId val="10609859"/>
      </c:bar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859"/>
        <c:crosses val="autoZero"/>
        <c:auto val="1"/>
        <c:lblOffset val="100"/>
        <c:tickLblSkip val="1"/>
        <c:noMultiLvlLbl val="0"/>
      </c:catAx>
      <c:valAx>
        <c:axId val="10609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budgeted expenses to actual expenses 
 PI-UPR-1 
April 1, 2008- February 28, 2009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75"/>
          <c:w val="0.9342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UPR!$C$5</c:f>
              <c:strCache>
                <c:ptCount val="1"/>
                <c:pt idx="0">
                  <c:v>Budgeted Expenses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UPR!$B$6:$B$11</c:f>
              <c:strCache/>
            </c:strRef>
          </c:cat>
          <c:val>
            <c:numRef>
              <c:f>UPR!$C$6:$C$11</c:f>
              <c:numCache/>
            </c:numRef>
          </c:val>
          <c:smooth val="0"/>
        </c:ser>
        <c:ser>
          <c:idx val="1"/>
          <c:order val="1"/>
          <c:tx>
            <c:strRef>
              <c:f>UPR!$D$5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UPR!$B$6:$B$11</c:f>
              <c:strCache/>
            </c:strRef>
          </c:cat>
          <c:val>
            <c:numRef>
              <c:f>UPR!$D$6:$D$11</c:f>
              <c:numCache/>
            </c:numRef>
          </c:val>
          <c:smooth val="0"/>
        </c:ser>
        <c:marker val="1"/>
        <c:axId val="28379868"/>
        <c:axId val="54092221"/>
      </c:lineChart>
      <c:catAx>
        <c:axId val="28379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2221"/>
        <c:crosses val="autoZero"/>
        <c:auto val="0"/>
        <c:lblOffset val="100"/>
        <c:tickLblSkip val="1"/>
        <c:noMultiLvlLbl val="0"/>
      </c:catAx>
      <c:valAx>
        <c:axId val="5409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98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92875"/>
          <c:w val="0.389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 budget and expenditures
 4/1/08-12/31/08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UCR!#REF!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UCR!#REF!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UCR!#REF!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UCR!#REF!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UCR!#REF!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UCR!#REF!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UCR!#REF!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UCR!#REF!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UCR!#REF!</c:f>
              <c:numCache>
                <c:ptCount val="1"/>
                <c:pt idx="0">
                  <c:v>1</c:v>
                </c:pt>
              </c:numCache>
            </c:numRef>
          </c:val>
        </c:ser>
        <c:axId val="17067942"/>
        <c:axId val="19393751"/>
      </c:bar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 val="autoZero"/>
        <c:auto val="1"/>
        <c:lblOffset val="100"/>
        <c:tickLblSkip val="1"/>
        <c:noMultiLvlLbl val="0"/>
      </c:catAx>
      <c:valAx>
        <c:axId val="19393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budgeted expenses to actual expenses 
 PI-UCR-1 
April 1, 2008- February 28, 2009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75"/>
          <c:w val="0.9342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UCR!$C$5</c:f>
              <c:strCache>
                <c:ptCount val="1"/>
                <c:pt idx="0">
                  <c:v>Budgeted Expenses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UCR!$B$6:$B$11</c:f>
              <c:strCache/>
            </c:strRef>
          </c:cat>
          <c:val>
            <c:numRef>
              <c:f>UCR!$C$6:$C$11</c:f>
              <c:numCache/>
            </c:numRef>
          </c:val>
          <c:smooth val="0"/>
        </c:ser>
        <c:ser>
          <c:idx val="1"/>
          <c:order val="1"/>
          <c:tx>
            <c:strRef>
              <c:f>UCR!$D$5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UCR!$B$6:$B$11</c:f>
              <c:strCache/>
            </c:strRef>
          </c:cat>
          <c:val>
            <c:numRef>
              <c:f>UCR!$D$6:$D$11</c:f>
              <c:numCache/>
            </c:numRef>
          </c:val>
          <c:smooth val="0"/>
        </c:ser>
        <c:marker val="1"/>
        <c:axId val="40326032"/>
        <c:axId val="27389969"/>
      </c:lineChart>
      <c:catAx>
        <c:axId val="40326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 val="autoZero"/>
        <c:auto val="0"/>
        <c:lblOffset val="100"/>
        <c:tickLblSkip val="1"/>
        <c:noMultiLvlLbl val="0"/>
      </c:catAx>
      <c:valAx>
        <c:axId val="27389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60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92875"/>
          <c:w val="0.389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 budget and expenditures
 4/1/08-12/31/08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'MSU Kelly'!#REF!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'MSU Kelly'!#REF!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'MSU Kelly'!#REF!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'MSU Kelly'!#REF!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'MSU Kelly'!#REF!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'MSU Kelly'!#REF!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'MSU Kelly'!#REF!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'MSU Kelly'!#REF!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'MSU Kelly'!#REF!</c:f>
              <c:numCache>
                <c:ptCount val="1"/>
                <c:pt idx="0">
                  <c:v>1</c:v>
                </c:pt>
              </c:numCache>
            </c:numRef>
          </c:val>
        </c:ser>
        <c:axId val="45183130"/>
        <c:axId val="3994987"/>
      </c:bar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budgeted expenses to actual expenses 
 PI-MSU-1 (Kelly)
April 1, 2008- February 28, 2009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75"/>
          <c:w val="0.934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'MSU Kelly'!$C$5</c:f>
              <c:strCache>
                <c:ptCount val="1"/>
                <c:pt idx="0">
                  <c:v>Budgeted Expenses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'MSU Kelly'!$B$6:$B$11</c:f>
              <c:strCache/>
            </c:strRef>
          </c:cat>
          <c:val>
            <c:numRef>
              <c:f>'MSU Kelly'!$C$6:$C$11</c:f>
              <c:numCache/>
            </c:numRef>
          </c:val>
          <c:smooth val="0"/>
        </c:ser>
        <c:ser>
          <c:idx val="1"/>
          <c:order val="1"/>
          <c:tx>
            <c:strRef>
              <c:f>'MSU Kelly'!$D$5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'MSU Kelly'!$B$6:$B$11</c:f>
              <c:strCache/>
            </c:strRef>
          </c:cat>
          <c:val>
            <c:numRef>
              <c:f>'MSU Kelly'!$D$6:$D$11</c:f>
              <c:numCache/>
            </c:numRef>
          </c:val>
          <c:smooth val="0"/>
        </c:ser>
        <c:marker val="1"/>
        <c:axId val="35954884"/>
        <c:axId val="55158501"/>
      </c:lineChart>
      <c:catAx>
        <c:axId val="3595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501"/>
        <c:crosses val="autoZero"/>
        <c:auto val="0"/>
        <c:lblOffset val="100"/>
        <c:tickLblSkip val="1"/>
        <c:noMultiLvlLbl val="0"/>
      </c:catAx>
      <c:valAx>
        <c:axId val="5515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548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.92875"/>
          <c:w val="0.387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 budget and expenditures
 4/1/08-12/31/08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UIUC!#REF!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UIUC!#REF!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UIUC!#REF!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UIUC!#REF!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UIUC!#REF!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UIUC!#REF!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UIUC!#REF!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UIUC!#REF!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UIUC!#REF!</c:f>
              <c:numCache>
                <c:ptCount val="1"/>
                <c:pt idx="0">
                  <c:v>1</c:v>
                </c:pt>
              </c:numCache>
            </c:numRef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3567"/>
        <c:crosses val="autoZero"/>
        <c:auto val="1"/>
        <c:lblOffset val="100"/>
        <c:tickLblSkip val="1"/>
        <c:noMultiLvlLbl val="0"/>
      </c:catAx>
      <c:valAx>
        <c:axId val="38653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budgeted expenses to actual expenses 
 PI-UIUC-1
April 1, 2008- February 28, 2009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75"/>
          <c:w val="0.934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UIUC!$C$5</c:f>
              <c:strCache>
                <c:ptCount val="1"/>
                <c:pt idx="0">
                  <c:v>Budgeted Expenses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UIUC!$B$6:$B$11</c:f>
              <c:strCache/>
            </c:strRef>
          </c:cat>
          <c:val>
            <c:numRef>
              <c:f>UIUC!$C$6:$C$11</c:f>
              <c:numCache/>
            </c:numRef>
          </c:val>
          <c:smooth val="0"/>
        </c:ser>
        <c:ser>
          <c:idx val="1"/>
          <c:order val="1"/>
          <c:tx>
            <c:strRef>
              <c:f>UIUC!$D$5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UIUC!$B$6:$B$11</c:f>
              <c:strCache/>
            </c:strRef>
          </c:cat>
          <c:val>
            <c:numRef>
              <c:f>UIUC!$D$6:$D$11</c:f>
              <c:numCache/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 val="autoZero"/>
        <c:auto val="0"/>
        <c:lblOffset val="100"/>
        <c:tickLblSkip val="1"/>
        <c:noMultiLvlLbl val="0"/>
      </c:catAx>
      <c:valAx>
        <c:axId val="4393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92675"/>
          <c:w val="0.388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projects budget and expenditures
 4/1/08-2/28/09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655"/>
          <c:w val="0.776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V EXPENSE'!$B$5</c:f>
              <c:strCache>
                <c:ptCount val="1"/>
                <c:pt idx="0">
                  <c:v>BUDGET                  4/1/08 - 9/30/09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'BUDGET V EXPENSE'!$A$6:$A$13</c:f>
              <c:strCache/>
            </c:strRef>
          </c:cat>
          <c:val>
            <c:numRef>
              <c:f>'BUDGET V EXPENSE'!$B$6:$B$13</c:f>
              <c:numCache/>
            </c:numRef>
          </c:val>
        </c:ser>
        <c:ser>
          <c:idx val="1"/>
          <c:order val="1"/>
          <c:tx>
            <c:strRef>
              <c:f>'BUDGET V EXPENSE'!$C$5</c:f>
              <c:strCache>
                <c:ptCount val="1"/>
                <c:pt idx="0">
                  <c:v>U.S INST. EXP.                     4/1/08-2/28/09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'BUDGET V EXPENSE'!$A$6:$A$13</c:f>
              <c:strCache/>
            </c:strRef>
          </c:cat>
          <c:val>
            <c:numRef>
              <c:f>'BUDGET V EXPENSE'!$C$6:$C$13</c:f>
              <c:numCache/>
            </c:numRef>
          </c:val>
        </c:ser>
        <c:ser>
          <c:idx val="2"/>
          <c:order val="2"/>
          <c:tx>
            <c:strRef>
              <c:f>'BUDGET V EXPENSE'!$D$5</c:f>
              <c:strCache>
                <c:ptCount val="1"/>
                <c:pt idx="0">
                  <c:v>HC EXP                             4/1/08 - 2/28/09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'BUDGET V EXPENSE'!$A$6:$A$13</c:f>
              <c:strCache/>
            </c:strRef>
          </c:cat>
          <c:val>
            <c:numRef>
              <c:f>'BUDGET V EXPENSE'!$D$6:$D$13</c:f>
              <c:numCache/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5"/>
          <c:y val="0.41225"/>
          <c:w val="0.14025"/>
          <c:h val="0.3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 budget and expenditures
 4/1/08-12/31/08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ISU!#REF!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ISU!#REF!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ISU!#REF!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ISU!#REF!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ISU!#REF!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ISU!#REF!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ISU!#REF!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ISU!#REF!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ISU!#REF!</c:f>
              <c:numCache>
                <c:ptCount val="1"/>
                <c:pt idx="0">
                  <c:v>1</c:v>
                </c:pt>
              </c:numCache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budgeted expenses to actual expenses 
 PI-ISU-1
April 1, 2008- February 28, 2009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75"/>
          <c:w val="0.934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ISU!$C$5</c:f>
              <c:strCache>
                <c:ptCount val="1"/>
                <c:pt idx="0">
                  <c:v>Budgeted Expenses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ISU!$B$6:$B$11</c:f>
              <c:strCache/>
            </c:strRef>
          </c:cat>
          <c:val>
            <c:numRef>
              <c:f>ISU!$C$6:$C$11</c:f>
              <c:numCache/>
            </c:numRef>
          </c:val>
          <c:smooth val="0"/>
        </c:ser>
        <c:ser>
          <c:idx val="1"/>
          <c:order val="1"/>
          <c:tx>
            <c:strRef>
              <c:f>ISU!$D$5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ISU!$B$6:$B$11</c:f>
              <c:strCache/>
            </c:strRef>
          </c:cat>
          <c:val>
            <c:numRef>
              <c:f>ISU!$D$6:$D$11</c:f>
              <c:numCache/>
            </c:numRef>
          </c:val>
          <c:smooth val="0"/>
        </c:ser>
        <c:marker val="1"/>
        <c:axId val="14911660"/>
        <c:axId val="67096077"/>
      </c:lineChart>
      <c:catAx>
        <c:axId val="1491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077"/>
        <c:crosses val="autoZero"/>
        <c:auto val="0"/>
        <c:lblOffset val="100"/>
        <c:tickLblSkip val="1"/>
        <c:noMultiLvlLbl val="0"/>
      </c:catAx>
      <c:valAx>
        <c:axId val="6709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92675"/>
          <c:w val="0.388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required Cost Share to reported Cost Chare  
04/01/08-2/28/09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228"/>
          <c:w val="0.632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SHARE'!$B$5</c:f>
              <c:strCache>
                <c:ptCount val="1"/>
                <c:pt idx="0">
                  <c:v>REQUIRED COST SHARE                 4/1/08-9/30/09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'COST SHARE'!$A$6:$A$14</c:f>
              <c:strCache/>
            </c:strRef>
          </c:cat>
          <c:val>
            <c:numRef>
              <c:f>'COST SHARE'!$B$6:$B$14</c:f>
              <c:numCache/>
            </c:numRef>
          </c:val>
        </c:ser>
        <c:ser>
          <c:idx val="1"/>
          <c:order val="1"/>
          <c:tx>
            <c:strRef>
              <c:f>'COST SHARE'!$C$5</c:f>
              <c:strCache>
                <c:ptCount val="1"/>
                <c:pt idx="0">
                  <c:v>REPORTED COST SHARE  4/1/08-2/28/09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'COST SHARE'!$A$6:$A$14</c:f>
              <c:strCache/>
            </c:strRef>
          </c:cat>
          <c:val>
            <c:numRef>
              <c:f>'COST SHARE'!$C$6:$C$14</c:f>
              <c:numCache/>
            </c:numRef>
          </c:val>
        </c:ser>
        <c:ser>
          <c:idx val="2"/>
          <c:order val="2"/>
          <c:tx>
            <c:strRef>
              <c:f>'COST SHARE'!$D$5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'COST SHARE'!$A$6:$A$14</c:f>
              <c:strCache/>
            </c:strRef>
          </c:cat>
          <c:val>
            <c:numRef>
              <c:f>'COST SHARE'!$D$6:$D$14</c:f>
              <c:numCache/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5"/>
          <c:y val="0.21275"/>
          <c:w val="0.274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 Direct &amp; Indirect Expenses  
4/1/08-2/28/09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265"/>
          <c:w val="0.596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 INDIRECT EXPENSES'!$B$5</c:f>
              <c:strCache>
                <c:ptCount val="1"/>
                <c:pt idx="0">
                  <c:v>DIRECT EXPENSES                     4/1/08-2/28/09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 INDIRECT EXPENSES'!$A$6:$A$14</c:f>
              <c:strCache/>
            </c:strRef>
          </c:cat>
          <c:val>
            <c:numRef>
              <c:f>'Dir V INDIRECT EXPENSES'!$B$6:$B$14</c:f>
              <c:numCache/>
            </c:numRef>
          </c:val>
        </c:ser>
        <c:ser>
          <c:idx val="1"/>
          <c:order val="1"/>
          <c:tx>
            <c:strRef>
              <c:f>'Dir V INDIRECT EXPENSES'!$C$5</c:f>
              <c:strCache>
                <c:ptCount val="1"/>
                <c:pt idx="0">
                  <c:v>INDIRECT EXPENSE                             4/1/08 -2/28/09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 INDIRECT EXPENSES'!$A$6:$A$14</c:f>
              <c:strCache/>
            </c:strRef>
          </c:cat>
          <c:val>
            <c:numRef>
              <c:f>'Dir V INDIRECT EXPENSES'!$C$6:$C$14</c:f>
              <c:numCache/>
            </c:numRef>
          </c:val>
        </c:ser>
        <c:ser>
          <c:idx val="2"/>
          <c:order val="2"/>
          <c:tx>
            <c:strRef>
              <c:f>'Dir V INDIRECT EXPENSES'!$D$5</c:f>
              <c:strCache>
                <c:ptCount val="1"/>
                <c:pt idx="0">
                  <c:v>% DIRECT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 INDIRECT EXPENSES'!$A$6:$A$14</c:f>
              <c:strCache/>
            </c:strRef>
          </c:cat>
          <c:val>
            <c:numRef>
              <c:f>'Dir V INDIRECT EXPENSES'!$D$6:$D$14</c:f>
              <c:numCache/>
            </c:numRef>
          </c:val>
        </c:ser>
        <c:ser>
          <c:idx val="3"/>
          <c:order val="3"/>
          <c:tx>
            <c:strRef>
              <c:f>'Dir V INDIRECT EXPENSES'!$E$5</c:f>
              <c:strCache>
                <c:ptCount val="1"/>
                <c:pt idx="0">
                  <c:v>% INDIRECT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 INDIRECT EXPENSES'!$A$6:$A$14</c:f>
              <c:strCache/>
            </c:strRef>
          </c:cat>
          <c:val>
            <c:numRef>
              <c:f>'Dir V INDIRECT EXPENSES'!$E$6:$E$14</c:f>
              <c:numCache/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1"/>
        <c:lblOffset val="100"/>
        <c:tickLblSkip val="1"/>
        <c:noMultiLvlLbl val="0"/>
      </c:catAx>
      <c:valAx>
        <c:axId val="13994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1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2625"/>
          <c:w val="0.3035"/>
          <c:h val="0.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budgeted expenses to actual expenses 
 Management Office
October 1, 2007- February 28, 2009</a:t>
            </a:r>
          </a:p>
        </c:rich>
      </c:tx>
      <c:layout>
        <c:manualLayout>
          <c:xMode val="factor"/>
          <c:yMode val="factor"/>
          <c:x val="0.014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67"/>
          <c:w val="0.9885"/>
          <c:h val="0.6165"/>
        </c:manualLayout>
      </c:layout>
      <c:lineChart>
        <c:grouping val="standard"/>
        <c:varyColors val="0"/>
        <c:ser>
          <c:idx val="0"/>
          <c:order val="0"/>
          <c:tx>
            <c:strRef>
              <c:f>MO!$C$5</c:f>
              <c:strCache>
                <c:ptCount val="1"/>
                <c:pt idx="0">
                  <c:v>Budgeted Expenses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MO!$B$6:$B$13</c:f>
              <c:strCache/>
            </c:strRef>
          </c:cat>
          <c:val>
            <c:numRef>
              <c:f>MO!$C$6:$C$13</c:f>
              <c:numCache/>
            </c:numRef>
          </c:val>
          <c:smooth val="0"/>
        </c:ser>
        <c:ser>
          <c:idx val="1"/>
          <c:order val="1"/>
          <c:tx>
            <c:strRef>
              <c:f>MO!$D$5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MO!$B$6:$B$13</c:f>
              <c:strCache/>
            </c:strRef>
          </c:cat>
          <c:val>
            <c:numRef>
              <c:f>MO!$D$6:$D$13</c:f>
              <c:numCache/>
            </c:numRef>
          </c:val>
          <c:smooth val="0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7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0941"/>
        <c:crosses val="autoZero"/>
        <c:auto val="0"/>
        <c:lblOffset val="100"/>
        <c:tickLblSkip val="1"/>
        <c:noMultiLvlLbl val="0"/>
      </c:catAx>
      <c:valAx>
        <c:axId val="5980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39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5"/>
          <c:y val="0.92475"/>
          <c:w val="0.356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 budget and expenditures
 4/1/08-12/31/08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'Cornell Univ.'!#REF!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'Cornell Univ.'!#REF!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'Cornell Univ.'!#REF!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'Cornell Univ.'!#REF!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'Cornell Univ.'!#REF!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'Cornell Univ.'!#REF!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'Cornell Univ.'!#REF!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'Cornell Univ.'!#REF!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'Cornell Univ.'!#REF!</c:f>
              <c:numCache>
                <c:ptCount val="1"/>
                <c:pt idx="0">
                  <c:v>1</c:v>
                </c:pt>
              </c:numCache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budgeted expenses to actual expenses 
 PI-CU-1
April 1, 2008- February 28, 2009</a:t>
            </a:r>
          </a:p>
        </c:rich>
      </c:tx>
      <c:layout>
        <c:manualLayout>
          <c:xMode val="factor"/>
          <c:yMode val="factor"/>
          <c:x val="-0.010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7675"/>
          <c:w val="0.91425"/>
          <c:h val="0.6085"/>
        </c:manualLayout>
      </c:layout>
      <c:lineChart>
        <c:grouping val="standard"/>
        <c:varyColors val="0"/>
        <c:ser>
          <c:idx val="0"/>
          <c:order val="0"/>
          <c:tx>
            <c:strRef>
              <c:f>'Cornell Univ.'!$C$5</c:f>
              <c:strCache>
                <c:ptCount val="1"/>
                <c:pt idx="0">
                  <c:v>Budgeted Expenses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'Cornell Univ.'!$B$6:$B$11</c:f>
              <c:strCache/>
            </c:strRef>
          </c:cat>
          <c:val>
            <c:numRef>
              <c:f>'Cornell Univ.'!$C$6:$C$11</c:f>
              <c:numCache/>
            </c:numRef>
          </c:val>
          <c:smooth val="0"/>
        </c:ser>
        <c:ser>
          <c:idx val="1"/>
          <c:order val="1"/>
          <c:tx>
            <c:strRef>
              <c:f>'Cornell Univ.'!$D$5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'Cornell Univ.'!$B$6:$B$11</c:f>
              <c:strCache/>
            </c:strRef>
          </c:cat>
          <c:val>
            <c:numRef>
              <c:f>'Cornell Univ.'!$D$6:$D$11</c:f>
              <c:numCache/>
            </c:numRef>
          </c:val>
          <c:smooth val="0"/>
        </c:ser>
        <c:marker val="1"/>
        <c:axId val="41233344"/>
        <c:axId val="35555777"/>
      </c:lineChart>
      <c:cat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81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 val="autoZero"/>
        <c:auto val="0"/>
        <c:lblOffset val="100"/>
        <c:tickLblSkip val="1"/>
        <c:noMultiLvlLbl val="0"/>
      </c:catAx>
      <c:valAx>
        <c:axId val="35555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5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33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"/>
          <c:y val="0.92325"/>
          <c:w val="0.424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project budget and expenditures
 4/1/08-12/31/08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'Penn State'!#REF!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'Penn State'!#REF!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'Penn State'!#REF!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'Penn State'!#REF!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'Penn State'!#REF!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'Penn State'!#REF!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'Penn State'!#REF!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'Penn State'!#REF!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'Penn State'!#REF!</c:f>
              <c:numCache>
                <c:ptCount val="1"/>
                <c:pt idx="0">
                  <c:v>1</c:v>
                </c:pt>
              </c:numCache>
            </c:numRef>
          </c:val>
        </c:ser>
        <c:axId val="51566538"/>
        <c:axId val="61445659"/>
      </c:bar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 val="autoZero"/>
        <c:auto val="1"/>
        <c:lblOffset val="100"/>
        <c:tickLblSkip val="1"/>
        <c:noMultiLvlLbl val="0"/>
      </c:catAx>
      <c:valAx>
        <c:axId val="61445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budgeted expenses to actual expenses 
 PI-PSU-1
April 1, 2008- February 28, 2009</a:t>
            </a:r>
          </a:p>
        </c:rich>
      </c:tx>
      <c:layout>
        <c:manualLayout>
          <c:xMode val="factor"/>
          <c:yMode val="factor"/>
          <c:x val="0.008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75"/>
          <c:w val="0.934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'Penn State'!$C$5</c:f>
              <c:strCache>
                <c:ptCount val="1"/>
                <c:pt idx="0">
                  <c:v>Budgeted Expenses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'Penn State'!$B$6:$B$11</c:f>
              <c:strCache/>
            </c:strRef>
          </c:cat>
          <c:val>
            <c:numRef>
              <c:f>'Penn State'!$C$6:$C$11</c:f>
              <c:numCache/>
            </c:numRef>
          </c:val>
          <c:smooth val="0"/>
        </c:ser>
        <c:ser>
          <c:idx val="1"/>
          <c:order val="1"/>
          <c:tx>
            <c:strRef>
              <c:f>'Penn State'!$D$5</c:f>
              <c:strCache>
                <c:ptCount val="1"/>
                <c:pt idx="0">
                  <c:v>Actual 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'Penn State'!$B$6:$B$11</c:f>
              <c:strCache/>
            </c:strRef>
          </c:cat>
          <c:val>
            <c:numRef>
              <c:f>'Penn State'!$D$6:$D$11</c:f>
              <c:numCache/>
            </c:numRef>
          </c:val>
          <c:smooth val="0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 val="autoZero"/>
        <c:auto val="0"/>
        <c:lblOffset val="100"/>
        <c:tickLblSkip val="1"/>
        <c:noMultiLvlLbl val="0"/>
      </c:catAx>
      <c:valAx>
        <c:axId val="110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00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.92875"/>
          <c:w val="0.387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771525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0" y="2276475"/>
        <a:ext cx="72009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</xdr:row>
      <xdr:rowOff>133350</xdr:rowOff>
    </xdr:from>
    <xdr:to>
      <xdr:col>12</xdr:col>
      <xdr:colOff>600075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38100" y="742950"/>
        <a:ext cx="102393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</xdr:row>
      <xdr:rowOff>114300</xdr:rowOff>
    </xdr:from>
    <xdr:to>
      <xdr:col>12</xdr:col>
      <xdr:colOff>600075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38100" y="723900"/>
        <a:ext cx="102393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142875</xdr:rowOff>
    </xdr:from>
    <xdr:to>
      <xdr:col>13</xdr:col>
      <xdr:colOff>9525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0" y="752475"/>
        <a:ext cx="102965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133350</xdr:rowOff>
    </xdr:from>
    <xdr:to>
      <xdr:col>12</xdr:col>
      <xdr:colOff>581025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0" y="742950"/>
        <a:ext cx="102584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123825</xdr:rowOff>
    </xdr:from>
    <xdr:to>
      <xdr:col>12</xdr:col>
      <xdr:colOff>581025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0" y="733425"/>
        <a:ext cx="102584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7</xdr:col>
      <xdr:colOff>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0" y="2514600"/>
        <a:ext cx="81629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0</xdr:rowOff>
    </xdr:from>
    <xdr:to>
      <xdr:col>6</xdr:col>
      <xdr:colOff>571500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9050" y="3419475"/>
        <a:ext cx="7905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514350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2876550"/>
        <a:ext cx="7210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15</xdr:row>
      <xdr:rowOff>457200</xdr:rowOff>
    </xdr:from>
    <xdr:ext cx="1628775" cy="304800"/>
    <xdr:sp fLocksText="0">
      <xdr:nvSpPr>
        <xdr:cNvPr id="1" name="TextBox 9"/>
        <xdr:cNvSpPr txBox="1">
          <a:spLocks noChangeArrowheads="1"/>
        </xdr:cNvSpPr>
      </xdr:nvSpPr>
      <xdr:spPr>
        <a:xfrm>
          <a:off x="3695700" y="5305425"/>
          <a:ext cx="1628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7</xdr:row>
      <xdr:rowOff>47625</xdr:rowOff>
    </xdr:from>
    <xdr:ext cx="5524500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9401175" y="1352550"/>
          <a:ext cx="5524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15</xdr:col>
      <xdr:colOff>571500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9050" y="771525"/>
        <a:ext cx="111918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</xdr:row>
      <xdr:rowOff>123825</xdr:rowOff>
    </xdr:from>
    <xdr:to>
      <xdr:col>12</xdr:col>
      <xdr:colOff>600075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38100" y="733425"/>
        <a:ext cx="100393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142875</xdr:rowOff>
    </xdr:from>
    <xdr:to>
      <xdr:col>13</xdr:col>
      <xdr:colOff>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0" y="752475"/>
        <a:ext cx="102870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133350</xdr:rowOff>
    </xdr:from>
    <xdr:to>
      <xdr:col>13</xdr:col>
      <xdr:colOff>9525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0" y="742950"/>
        <a:ext cx="102965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34.7109375" style="0" bestFit="1" customWidth="1"/>
    <col min="2" max="2" width="27.28125" style="0" customWidth="1"/>
    <col min="3" max="3" width="16.8515625" style="0" bestFit="1" customWidth="1"/>
    <col min="4" max="5" width="16.421875" style="0" customWidth="1"/>
    <col min="6" max="6" width="14.28125" style="0" customWidth="1"/>
  </cols>
  <sheetData>
    <row r="1" spans="1:6" ht="12.75">
      <c r="A1" s="197" t="s">
        <v>26</v>
      </c>
      <c r="B1" s="198"/>
      <c r="C1" s="198"/>
      <c r="D1" s="199"/>
      <c r="E1" s="112"/>
      <c r="F1" s="112"/>
    </row>
    <row r="2" spans="1:6" ht="12.75">
      <c r="A2" s="200" t="s">
        <v>94</v>
      </c>
      <c r="B2" s="201"/>
      <c r="C2" s="201"/>
      <c r="D2" s="202"/>
      <c r="E2" s="112"/>
      <c r="F2" s="112"/>
    </row>
    <row r="3" spans="1:6" ht="13.5" thickBot="1">
      <c r="A3" s="203" t="s">
        <v>95</v>
      </c>
      <c r="B3" s="204"/>
      <c r="C3" s="204"/>
      <c r="D3" s="205"/>
      <c r="E3" s="112"/>
      <c r="F3" s="112"/>
    </row>
    <row r="4" ht="12.75">
      <c r="A4" s="31"/>
    </row>
    <row r="5" spans="1:4" ht="12.75">
      <c r="A5" s="31"/>
      <c r="B5" s="196" t="s">
        <v>90</v>
      </c>
      <c r="C5" s="196"/>
      <c r="D5" s="196"/>
    </row>
    <row r="6" ht="13.5" thickBot="1"/>
    <row r="7" spans="2:4" s="1" customFormat="1" ht="25.5">
      <c r="B7" s="44" t="s">
        <v>35</v>
      </c>
      <c r="C7" s="45" t="s">
        <v>20</v>
      </c>
      <c r="D7" s="46" t="s">
        <v>36</v>
      </c>
    </row>
    <row r="8" spans="2:4" ht="12.75">
      <c r="B8" s="13"/>
      <c r="C8" s="47"/>
      <c r="D8" s="2"/>
    </row>
    <row r="9" spans="2:4" ht="12.75">
      <c r="B9" s="49" t="s">
        <v>37</v>
      </c>
      <c r="C9" s="48">
        <v>39356</v>
      </c>
      <c r="D9" s="50">
        <v>3008720</v>
      </c>
    </row>
    <row r="10" spans="2:4" ht="12.75">
      <c r="B10" s="49" t="s">
        <v>33</v>
      </c>
      <c r="C10" s="48">
        <v>39694</v>
      </c>
      <c r="D10" s="50">
        <v>2005000</v>
      </c>
    </row>
    <row r="11" spans="2:4" ht="13.5" thickBot="1">
      <c r="B11" s="3" t="s">
        <v>0</v>
      </c>
      <c r="C11" s="51"/>
      <c r="D11" s="52">
        <f>SUM(D9:D10)</f>
        <v>5013720</v>
      </c>
    </row>
    <row r="13" spans="2:4" ht="12.75">
      <c r="B13" s="196" t="s">
        <v>91</v>
      </c>
      <c r="C13" s="196"/>
      <c r="D13" s="196"/>
    </row>
    <row r="14" ht="13.5" thickBot="1"/>
    <row r="15" spans="1:6" s="1" customFormat="1" ht="38.25">
      <c r="A15" s="39"/>
      <c r="B15" s="56" t="s">
        <v>45</v>
      </c>
      <c r="C15" s="57" t="s">
        <v>43</v>
      </c>
      <c r="D15" s="58" t="s">
        <v>34</v>
      </c>
      <c r="E15" s="39"/>
      <c r="F15" s="39"/>
    </row>
    <row r="16" spans="1:6" s="1" customFormat="1" ht="12.75">
      <c r="A16" s="39"/>
      <c r="B16" s="53" t="s">
        <v>39</v>
      </c>
      <c r="C16" s="54" t="s">
        <v>40</v>
      </c>
      <c r="D16" s="55" t="s">
        <v>41</v>
      </c>
      <c r="E16" s="39"/>
      <c r="F16" s="39"/>
    </row>
    <row r="17" spans="1:6" s="1" customFormat="1" ht="13.5" thickBot="1">
      <c r="A17" s="141" t="s">
        <v>96</v>
      </c>
      <c r="B17" s="113">
        <v>575237</v>
      </c>
      <c r="C17" s="41">
        <v>399545</v>
      </c>
      <c r="D17" s="19">
        <v>0</v>
      </c>
      <c r="E17" s="39"/>
      <c r="F17" s="39"/>
    </row>
    <row r="18" spans="1:9" ht="12.75">
      <c r="A18" s="142" t="s">
        <v>1</v>
      </c>
      <c r="B18" s="113">
        <f>88401+6500</f>
        <v>94901</v>
      </c>
      <c r="C18" s="41">
        <v>169220</v>
      </c>
      <c r="D18" s="19">
        <v>29100</v>
      </c>
      <c r="E18" s="38"/>
      <c r="F18" s="38"/>
      <c r="G18" s="34"/>
      <c r="H18" s="34"/>
      <c r="I18" s="34"/>
    </row>
    <row r="19" spans="1:9" ht="12.75">
      <c r="A19" s="141" t="s">
        <v>122</v>
      </c>
      <c r="B19" s="113">
        <f>102855+6500</f>
        <v>109355</v>
      </c>
      <c r="C19" s="41">
        <v>189476</v>
      </c>
      <c r="D19" s="19">
        <v>0</v>
      </c>
      <c r="E19" s="38"/>
      <c r="F19" s="38"/>
      <c r="G19" s="34"/>
      <c r="H19" s="34"/>
      <c r="I19" s="34"/>
    </row>
    <row r="20" spans="1:9" ht="12.75">
      <c r="A20" s="141" t="s">
        <v>119</v>
      </c>
      <c r="B20" s="113">
        <v>91831</v>
      </c>
      <c r="C20" s="41">
        <v>156093</v>
      </c>
      <c r="D20" s="19">
        <v>0</v>
      </c>
      <c r="E20" s="38"/>
      <c r="F20" s="38"/>
      <c r="G20" s="34"/>
      <c r="H20" s="34"/>
      <c r="I20" s="34"/>
    </row>
    <row r="21" spans="1:9" ht="12.75">
      <c r="A21" s="141" t="s">
        <v>120</v>
      </c>
      <c r="B21" s="113">
        <f>93500+6500</f>
        <v>100000</v>
      </c>
      <c r="C21" s="41">
        <v>178250</v>
      </c>
      <c r="D21" s="19">
        <f>25000+30000</f>
        <v>55000</v>
      </c>
      <c r="E21" s="38"/>
      <c r="F21" s="38"/>
      <c r="G21" s="34"/>
      <c r="H21" s="34"/>
      <c r="I21" s="34"/>
    </row>
    <row r="22" spans="1:9" ht="12.75">
      <c r="A22" s="141" t="s">
        <v>123</v>
      </c>
      <c r="B22" s="113">
        <f>101615+6500</f>
        <v>108115</v>
      </c>
      <c r="C22" s="41">
        <v>166706</v>
      </c>
      <c r="D22" s="19">
        <f>33600+11000+30000</f>
        <v>74600</v>
      </c>
      <c r="E22" s="38"/>
      <c r="F22" s="38"/>
      <c r="G22" s="34"/>
      <c r="H22" s="34"/>
      <c r="I22" s="34"/>
    </row>
    <row r="23" spans="1:9" ht="12.75">
      <c r="A23" s="141" t="s">
        <v>121</v>
      </c>
      <c r="B23" s="113">
        <v>78756</v>
      </c>
      <c r="C23" s="41">
        <v>160971</v>
      </c>
      <c r="D23" s="19">
        <f>2000+27500</f>
        <v>29500</v>
      </c>
      <c r="E23" s="38"/>
      <c r="F23" s="38"/>
      <c r="G23" s="34"/>
      <c r="H23" s="34"/>
      <c r="I23" s="34"/>
    </row>
    <row r="24" spans="1:9" ht="12.75">
      <c r="A24" s="141" t="s">
        <v>2</v>
      </c>
      <c r="B24" s="113">
        <f>80275+6500</f>
        <v>86775</v>
      </c>
      <c r="C24" s="41">
        <v>165602</v>
      </c>
      <c r="D24" s="19">
        <v>40238</v>
      </c>
      <c r="E24" s="38"/>
      <c r="F24" s="38"/>
      <c r="G24" s="34"/>
      <c r="H24" s="34"/>
      <c r="I24" s="34"/>
    </row>
    <row r="25" spans="1:9" ht="12.75">
      <c r="A25" s="141" t="s">
        <v>109</v>
      </c>
      <c r="B25" s="113">
        <f>136467+6500</f>
        <v>142967</v>
      </c>
      <c r="C25" s="41">
        <v>183063</v>
      </c>
      <c r="D25" s="19">
        <f>28182+19000</f>
        <v>47182</v>
      </c>
      <c r="E25" s="38"/>
      <c r="F25" s="38"/>
      <c r="G25" s="34"/>
      <c r="H25" s="34"/>
      <c r="I25" s="34"/>
    </row>
    <row r="26" spans="1:6" ht="13.5" thickBot="1">
      <c r="A26" s="115" t="s">
        <v>0</v>
      </c>
      <c r="B26" s="114">
        <f>SUM(B17:B25)</f>
        <v>1387937</v>
      </c>
      <c r="C26" s="42">
        <f>SUM(C17:C25)</f>
        <v>1768926</v>
      </c>
      <c r="D26" s="43">
        <f>SUM(D17:D25)</f>
        <v>275620</v>
      </c>
      <c r="E26" s="40"/>
      <c r="F26" s="40"/>
    </row>
    <row r="27" spans="1:6" ht="12.75">
      <c r="A27" s="178" t="s">
        <v>97</v>
      </c>
      <c r="F27" s="32"/>
    </row>
    <row r="29" spans="2:4" ht="12.75">
      <c r="B29" s="31" t="s">
        <v>44</v>
      </c>
      <c r="D29" s="35">
        <f>D11</f>
        <v>5013720</v>
      </c>
    </row>
    <row r="30" spans="2:4" ht="12.75">
      <c r="B30" s="31" t="s">
        <v>38</v>
      </c>
      <c r="D30" s="36">
        <f>B26+C26+D26</f>
        <v>3432483</v>
      </c>
    </row>
    <row r="31" spans="2:4" ht="12.75">
      <c r="B31" s="35" t="s">
        <v>42</v>
      </c>
      <c r="D31" s="37">
        <f>D29-D30</f>
        <v>1581237</v>
      </c>
    </row>
    <row r="35" ht="13.5" thickBot="1"/>
    <row r="36" spans="1:5" ht="38.25">
      <c r="A36" s="39"/>
      <c r="B36" s="56" t="s">
        <v>45</v>
      </c>
      <c r="C36" s="57" t="s">
        <v>43</v>
      </c>
      <c r="D36" s="185" t="s">
        <v>34</v>
      </c>
      <c r="E36" s="194" t="s">
        <v>185</v>
      </c>
    </row>
    <row r="37" spans="1:5" ht="13.5" thickBot="1">
      <c r="A37" s="39"/>
      <c r="B37" s="53" t="s">
        <v>39</v>
      </c>
      <c r="C37" s="54" t="s">
        <v>40</v>
      </c>
      <c r="D37" s="186" t="s">
        <v>41</v>
      </c>
      <c r="E37" s="195"/>
    </row>
    <row r="38" spans="1:5" ht="12.75">
      <c r="A38" s="142" t="s">
        <v>1</v>
      </c>
      <c r="B38" s="189">
        <f>88401+6500</f>
        <v>94901</v>
      </c>
      <c r="C38" s="41">
        <v>169220</v>
      </c>
      <c r="D38" s="187">
        <v>29100</v>
      </c>
      <c r="E38" s="19">
        <f>SUM(B38:D38)</f>
        <v>293221</v>
      </c>
    </row>
    <row r="39" spans="1:5" ht="12.75">
      <c r="A39" s="141" t="s">
        <v>122</v>
      </c>
      <c r="B39" s="189">
        <f>102855+6500</f>
        <v>109355</v>
      </c>
      <c r="C39" s="41">
        <v>189476</v>
      </c>
      <c r="D39" s="187">
        <v>0</v>
      </c>
      <c r="E39" s="19">
        <f aca="true" t="shared" si="0" ref="E39:E46">SUM(B39:D39)</f>
        <v>298831</v>
      </c>
    </row>
    <row r="40" spans="1:5" ht="12.75">
      <c r="A40" s="141" t="s">
        <v>119</v>
      </c>
      <c r="B40" s="189">
        <v>91831</v>
      </c>
      <c r="C40" s="41">
        <v>156093</v>
      </c>
      <c r="D40" s="187">
        <v>0</v>
      </c>
      <c r="E40" s="19">
        <f t="shared" si="0"/>
        <v>247924</v>
      </c>
    </row>
    <row r="41" spans="1:5" ht="12.75">
      <c r="A41" s="141" t="s">
        <v>120</v>
      </c>
      <c r="B41" s="189">
        <f>93500+6500</f>
        <v>100000</v>
      </c>
      <c r="C41" s="41">
        <v>178250</v>
      </c>
      <c r="D41" s="187">
        <f>25000+30000</f>
        <v>55000</v>
      </c>
      <c r="E41" s="19">
        <f t="shared" si="0"/>
        <v>333250</v>
      </c>
    </row>
    <row r="42" spans="1:5" ht="12.75">
      <c r="A42" s="141" t="s">
        <v>123</v>
      </c>
      <c r="B42" s="189">
        <f>101615+6500</f>
        <v>108115</v>
      </c>
      <c r="C42" s="41">
        <v>166706</v>
      </c>
      <c r="D42" s="187">
        <f>33600+11000+30000</f>
        <v>74600</v>
      </c>
      <c r="E42" s="19">
        <f t="shared" si="0"/>
        <v>349421</v>
      </c>
    </row>
    <row r="43" spans="1:5" ht="12.75">
      <c r="A43" s="141" t="s">
        <v>121</v>
      </c>
      <c r="B43" s="189">
        <v>78756</v>
      </c>
      <c r="C43" s="41">
        <v>160971</v>
      </c>
      <c r="D43" s="187">
        <f>2000+27500</f>
        <v>29500</v>
      </c>
      <c r="E43" s="19">
        <f t="shared" si="0"/>
        <v>269227</v>
      </c>
    </row>
    <row r="44" spans="1:5" ht="12.75">
      <c r="A44" s="141" t="s">
        <v>2</v>
      </c>
      <c r="B44" s="189">
        <f>80275+6500</f>
        <v>86775</v>
      </c>
      <c r="C44" s="41">
        <v>165602</v>
      </c>
      <c r="D44" s="187">
        <v>40238</v>
      </c>
      <c r="E44" s="19">
        <f t="shared" si="0"/>
        <v>292615</v>
      </c>
    </row>
    <row r="45" spans="1:5" ht="12.75">
      <c r="A45" s="141" t="s">
        <v>109</v>
      </c>
      <c r="B45" s="189">
        <f>136467+6500</f>
        <v>142967</v>
      </c>
      <c r="C45" s="41">
        <v>183063</v>
      </c>
      <c r="D45" s="187">
        <f>28182+19000</f>
        <v>47182</v>
      </c>
      <c r="E45" s="19">
        <f t="shared" si="0"/>
        <v>373212</v>
      </c>
    </row>
    <row r="46" spans="1:5" ht="13.5" thickBot="1">
      <c r="A46" s="115" t="s">
        <v>0</v>
      </c>
      <c r="B46" s="190">
        <f>SUM(B38:B45)</f>
        <v>812700</v>
      </c>
      <c r="C46" s="42">
        <f>SUM(C38:C45)</f>
        <v>1369381</v>
      </c>
      <c r="D46" s="188">
        <f>SUM(D38:D45)</f>
        <v>275620</v>
      </c>
      <c r="E46" s="43">
        <f t="shared" si="0"/>
        <v>2457701</v>
      </c>
    </row>
  </sheetData>
  <sheetProtection/>
  <mergeCells count="6">
    <mergeCell ref="E36:E37"/>
    <mergeCell ref="B5:D5"/>
    <mergeCell ref="B13:D13"/>
    <mergeCell ref="A1:D1"/>
    <mergeCell ref="A2:D2"/>
    <mergeCell ref="A3:D3"/>
  </mergeCells>
  <printOptions horizontalCentered="1" verticalCentered="1"/>
  <pageMargins left="0.75" right="0.75" top="1" bottom="0.67" header="0.5" footer="0.28"/>
  <pageSetup horizontalDpi="600" verticalDpi="600" orientation="landscape" scale="110" r:id="rId1"/>
  <headerFooter alignWithMargins="0">
    <oddFooter>&amp;LPrepared by: Ben Hassankhani&amp;CDry Grain Pulses CRSP&amp;RPage 1
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7.8515625" style="0" customWidth="1"/>
    <col min="2" max="2" width="14.140625" style="0" customWidth="1"/>
    <col min="3" max="3" width="15.421875" style="0" customWidth="1"/>
    <col min="4" max="5" width="18.8515625" style="0" customWidth="1"/>
    <col min="6" max="6" width="14.57421875" style="0" customWidth="1"/>
    <col min="7" max="7" width="9.421875" style="0" customWidth="1"/>
    <col min="10" max="10" width="9.421875" style="0" customWidth="1"/>
  </cols>
  <sheetData>
    <row r="1" spans="1:13" s="159" customFormat="1" ht="15.75">
      <c r="A1" s="214" t="str">
        <f>'BUDGET V EXPENSE'!A1:G3</f>
        <v>DRY GRAIN PULSES CRSP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</row>
    <row r="2" spans="1:13" s="159" customFormat="1" ht="15.75">
      <c r="A2" s="217" t="str">
        <f>'BUDGET V EXPENSE'!A2:G2</f>
        <v>COMPARISON OF PROJECTS BUDGET TO EXPENDITURES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s="159" customFormat="1" ht="16.5" thickBot="1">
      <c r="A3" s="220" t="s">
        <v>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5" spans="2:4" ht="12.75">
      <c r="B5" t="s">
        <v>20</v>
      </c>
      <c r="C5" t="s">
        <v>22</v>
      </c>
      <c r="D5" t="s">
        <v>21</v>
      </c>
    </row>
    <row r="6" spans="2:7" ht="12.75">
      <c r="B6" s="23" t="s">
        <v>14</v>
      </c>
      <c r="C6" s="184">
        <v>41745</v>
      </c>
      <c r="D6" s="183">
        <v>53822</v>
      </c>
      <c r="G6" s="26"/>
    </row>
    <row r="7" spans="2:7" ht="12.75">
      <c r="B7" s="25" t="s">
        <v>15</v>
      </c>
      <c r="C7" s="184">
        <f>C6*2</f>
        <v>83490</v>
      </c>
      <c r="D7" s="183">
        <f>D6+8428</f>
        <v>62250</v>
      </c>
      <c r="G7" s="26"/>
    </row>
    <row r="8" spans="2:7" ht="12.75">
      <c r="B8" s="25" t="s">
        <v>16</v>
      </c>
      <c r="C8" s="184">
        <f>C6*3</f>
        <v>125235</v>
      </c>
      <c r="D8" s="183">
        <f>D7+23017</f>
        <v>85267</v>
      </c>
      <c r="G8" s="26"/>
    </row>
    <row r="9" spans="2:7" ht="12.75">
      <c r="B9" s="25" t="s">
        <v>17</v>
      </c>
      <c r="C9" s="184">
        <f>C6*4</f>
        <v>166980</v>
      </c>
      <c r="D9" s="183">
        <f>D8+36824</f>
        <v>122091</v>
      </c>
      <c r="G9" s="26"/>
    </row>
    <row r="10" spans="2:7" ht="12.75">
      <c r="B10" s="25" t="s">
        <v>18</v>
      </c>
      <c r="C10" s="184">
        <f>+C6*5</f>
        <v>208725</v>
      </c>
      <c r="D10" s="183"/>
      <c r="G10" s="26"/>
    </row>
    <row r="11" spans="2:7" ht="12.75">
      <c r="B11" s="25" t="s">
        <v>19</v>
      </c>
      <c r="C11" s="184">
        <f>+C6*6</f>
        <v>250470</v>
      </c>
      <c r="D11" s="183"/>
      <c r="G11" s="27"/>
    </row>
    <row r="12" ht="12.75">
      <c r="C12" s="27"/>
    </row>
  </sheetData>
  <sheetProtection/>
  <mergeCells count="3">
    <mergeCell ref="A1:M1"/>
    <mergeCell ref="A2:M2"/>
    <mergeCell ref="A3:M3"/>
  </mergeCells>
  <printOptions horizontalCentered="1"/>
  <pageMargins left="0.21" right="0.21" top="1" bottom="1" header="0.5" footer="0.5"/>
  <pageSetup horizontalDpi="600" verticalDpi="600" orientation="landscape" scale="85" r:id="rId2"/>
  <headerFooter alignWithMargins="0">
    <oddFooter>&amp;LPrepared by: Ben Hassankhani&amp;CDry Grain Pulses CRSP&amp;RPage 10
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7.8515625" style="0" customWidth="1"/>
    <col min="2" max="2" width="14.140625" style="0" customWidth="1"/>
    <col min="3" max="3" width="15.421875" style="0" customWidth="1"/>
    <col min="4" max="5" width="18.8515625" style="0" customWidth="1"/>
    <col min="6" max="6" width="14.57421875" style="0" customWidth="1"/>
    <col min="7" max="7" width="9.421875" style="0" customWidth="1"/>
    <col min="10" max="10" width="9.421875" style="0" customWidth="1"/>
  </cols>
  <sheetData>
    <row r="1" spans="1:13" ht="15.75">
      <c r="A1" s="214" t="str">
        <f>'BUDGET V EXPENSE'!A1:G3</f>
        <v>DRY GRAIN PULSES CRSP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</row>
    <row r="2" spans="1:13" ht="15.75">
      <c r="A2" s="217" t="str">
        <f>'BUDGET V EXPENSE'!A2:G2</f>
        <v>COMPARISON OF PROJECTS BUDGET TO EXPENDITURES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ht="16.5" thickBot="1">
      <c r="A3" s="220" t="s">
        <v>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5" spans="2:4" ht="12.75">
      <c r="B5" t="s">
        <v>20</v>
      </c>
      <c r="C5" t="s">
        <v>22</v>
      </c>
      <c r="D5" t="s">
        <v>21</v>
      </c>
    </row>
    <row r="6" spans="2:7" ht="12.75">
      <c r="B6" s="23" t="s">
        <v>14</v>
      </c>
      <c r="C6" s="184">
        <v>55542</v>
      </c>
      <c r="D6" s="183">
        <v>77830</v>
      </c>
      <c r="G6" s="26"/>
    </row>
    <row r="7" spans="2:7" ht="12.75">
      <c r="B7" s="25" t="s">
        <v>15</v>
      </c>
      <c r="C7" s="184">
        <f>C6*2</f>
        <v>111084</v>
      </c>
      <c r="D7" s="183">
        <f>D6+0</f>
        <v>77830</v>
      </c>
      <c r="G7" s="26"/>
    </row>
    <row r="8" spans="2:7" ht="12.75">
      <c r="B8" s="25" t="s">
        <v>16</v>
      </c>
      <c r="C8" s="184">
        <f>C6*3</f>
        <v>166626</v>
      </c>
      <c r="D8" s="183">
        <f>D7+59416</f>
        <v>137246</v>
      </c>
      <c r="G8" s="26"/>
    </row>
    <row r="9" spans="2:7" ht="12.75">
      <c r="B9" s="25" t="s">
        <v>17</v>
      </c>
      <c r="C9" s="184">
        <f>C6*4</f>
        <v>222168</v>
      </c>
      <c r="D9" s="183">
        <f>D8+65576</f>
        <v>202822</v>
      </c>
      <c r="G9" s="26"/>
    </row>
    <row r="10" spans="2:7" ht="12.75">
      <c r="B10" s="25" t="s">
        <v>18</v>
      </c>
      <c r="C10" s="184">
        <f>+C6*5</f>
        <v>277710</v>
      </c>
      <c r="D10" s="183"/>
      <c r="G10" s="26"/>
    </row>
    <row r="11" spans="2:7" ht="12.75">
      <c r="B11" s="25" t="s">
        <v>19</v>
      </c>
      <c r="C11" s="184">
        <f>+C6*6</f>
        <v>333252</v>
      </c>
      <c r="D11" s="183"/>
      <c r="G11" s="27"/>
    </row>
    <row r="12" ht="12.75">
      <c r="C12" s="27"/>
    </row>
  </sheetData>
  <sheetProtection/>
  <mergeCells count="3">
    <mergeCell ref="A1:M1"/>
    <mergeCell ref="A2:M2"/>
    <mergeCell ref="A3:M3"/>
  </mergeCells>
  <printOptions horizontalCentered="1"/>
  <pageMargins left="0.21" right="0.21" top="1" bottom="1" header="0.5" footer="0.5"/>
  <pageSetup horizontalDpi="600" verticalDpi="600" orientation="landscape" scale="85" r:id="rId2"/>
  <headerFooter alignWithMargins="0">
    <oddFooter>&amp;LPrepared by: Ben Hassankhani&amp;CDry Grain Pulses CRSP&amp;RPage 11
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7.8515625" style="0" customWidth="1"/>
    <col min="2" max="2" width="14.140625" style="0" customWidth="1"/>
    <col min="3" max="3" width="15.421875" style="0" customWidth="1"/>
    <col min="4" max="5" width="18.8515625" style="0" customWidth="1"/>
    <col min="6" max="6" width="14.57421875" style="0" customWidth="1"/>
    <col min="7" max="7" width="9.421875" style="0" customWidth="1"/>
    <col min="10" max="10" width="9.421875" style="0" customWidth="1"/>
  </cols>
  <sheetData>
    <row r="1" spans="1:13" ht="15.75">
      <c r="A1" s="214" t="str">
        <f>'BUDGET V EXPENSE'!A1:G3</f>
        <v>DRY GRAIN PULSES CRSP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</row>
    <row r="2" spans="1:13" ht="15.75">
      <c r="A2" s="217" t="str">
        <f>'BUDGET V EXPENSE'!A2:G2</f>
        <v>COMPARISON OF PROJECTS BUDGET TO EXPENDITURES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ht="16.5" thickBot="1">
      <c r="A3" s="220" t="s">
        <v>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5" spans="2:4" ht="12.75">
      <c r="B5" t="s">
        <v>20</v>
      </c>
      <c r="C5" t="s">
        <v>22</v>
      </c>
      <c r="D5" t="s">
        <v>21</v>
      </c>
    </row>
    <row r="6" spans="2:7" ht="12.75">
      <c r="B6" s="23" t="s">
        <v>14</v>
      </c>
      <c r="C6" s="184">
        <v>58237</v>
      </c>
      <c r="D6" s="183">
        <v>0</v>
      </c>
      <c r="G6" s="26"/>
    </row>
    <row r="7" spans="2:7" ht="12.75">
      <c r="B7" s="25" t="s">
        <v>15</v>
      </c>
      <c r="C7" s="184">
        <f>C6*2</f>
        <v>116474</v>
      </c>
      <c r="D7" s="183">
        <f>D6+0</f>
        <v>0</v>
      </c>
      <c r="G7" s="26"/>
    </row>
    <row r="8" spans="2:7" ht="12.75">
      <c r="B8" s="25" t="s">
        <v>16</v>
      </c>
      <c r="C8" s="184">
        <f>C6*3</f>
        <v>174711</v>
      </c>
      <c r="D8" s="183">
        <f>D7+0</f>
        <v>0</v>
      </c>
      <c r="G8" s="26"/>
    </row>
    <row r="9" spans="2:7" ht="12.75">
      <c r="B9" s="25" t="s">
        <v>17</v>
      </c>
      <c r="C9" s="184">
        <f>C6*4</f>
        <v>232948</v>
      </c>
      <c r="D9" s="183">
        <f>D8+94840</f>
        <v>94840</v>
      </c>
      <c r="G9" s="26"/>
    </row>
    <row r="10" spans="2:7" ht="12.75">
      <c r="B10" s="25" t="s">
        <v>18</v>
      </c>
      <c r="C10" s="184">
        <f>+C6*5</f>
        <v>291185</v>
      </c>
      <c r="D10" s="183"/>
      <c r="G10" s="26"/>
    </row>
    <row r="11" spans="2:7" ht="12.75">
      <c r="B11" s="25" t="s">
        <v>19</v>
      </c>
      <c r="C11" s="184">
        <f>+C6*6</f>
        <v>349422</v>
      </c>
      <c r="D11" s="183"/>
      <c r="G11" s="27"/>
    </row>
    <row r="12" ht="12.75">
      <c r="C12" s="27"/>
    </row>
  </sheetData>
  <sheetProtection/>
  <mergeCells count="3">
    <mergeCell ref="A1:M1"/>
    <mergeCell ref="A2:M2"/>
    <mergeCell ref="A3:M3"/>
  </mergeCells>
  <printOptions horizontalCentered="1"/>
  <pageMargins left="0.21" right="0.21" top="1" bottom="1" header="0.5" footer="0.5"/>
  <pageSetup horizontalDpi="600" verticalDpi="600" orientation="landscape" scale="85" r:id="rId2"/>
  <headerFooter alignWithMargins="0">
    <oddFooter>&amp;LPrepared by: Ben Hassankhani&amp;CDry Grain Pulses CRSP&amp;RPage 12
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7.8515625" style="0" customWidth="1"/>
    <col min="2" max="2" width="14.140625" style="0" customWidth="1"/>
    <col min="3" max="3" width="15.421875" style="0" customWidth="1"/>
    <col min="4" max="5" width="18.8515625" style="0" customWidth="1"/>
    <col min="6" max="6" width="14.57421875" style="0" customWidth="1"/>
    <col min="7" max="7" width="9.421875" style="0" customWidth="1"/>
    <col min="10" max="10" width="9.421875" style="0" customWidth="1"/>
  </cols>
  <sheetData>
    <row r="1" spans="1:13" ht="15.75">
      <c r="A1" s="214" t="str">
        <f>'BUDGET V EXPENSE'!A1:G3</f>
        <v>DRY GRAIN PULSES CRSP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</row>
    <row r="2" spans="1:13" ht="15.75">
      <c r="A2" s="217" t="str">
        <f>'BUDGET V EXPENSE'!A2:G2</f>
        <v>COMPARISON OF PROJECTS BUDGET TO EXPENDITURES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ht="16.5" thickBot="1">
      <c r="A3" s="220" t="s">
        <v>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5" spans="2:4" ht="12.75">
      <c r="B5" t="s">
        <v>20</v>
      </c>
      <c r="C5" t="s">
        <v>22</v>
      </c>
      <c r="D5" t="s">
        <v>21</v>
      </c>
    </row>
    <row r="6" spans="2:7" ht="12.75">
      <c r="B6" s="23" t="s">
        <v>14</v>
      </c>
      <c r="C6" s="184">
        <v>44872</v>
      </c>
      <c r="D6" s="183">
        <v>54929</v>
      </c>
      <c r="G6" s="26"/>
    </row>
    <row r="7" spans="2:7" ht="12.75">
      <c r="B7" s="25" t="s">
        <v>15</v>
      </c>
      <c r="C7" s="184">
        <f>C6*2</f>
        <v>89744</v>
      </c>
      <c r="D7" s="183">
        <f>D6+19270</f>
        <v>74199</v>
      </c>
      <c r="G7" s="26"/>
    </row>
    <row r="8" spans="2:7" ht="12.75">
      <c r="B8" s="25" t="s">
        <v>16</v>
      </c>
      <c r="C8" s="184">
        <f>C6*3</f>
        <v>134616</v>
      </c>
      <c r="D8" s="183">
        <f>D7+76425</f>
        <v>150624</v>
      </c>
      <c r="G8" s="26"/>
    </row>
    <row r="9" spans="2:7" ht="12.75">
      <c r="B9" s="25" t="s">
        <v>17</v>
      </c>
      <c r="C9" s="184">
        <f>C6*4</f>
        <v>179488</v>
      </c>
      <c r="D9" s="183">
        <f>D8+32196</f>
        <v>182820</v>
      </c>
      <c r="G9" s="26"/>
    </row>
    <row r="10" spans="2:7" ht="12.75">
      <c r="B10" s="25" t="s">
        <v>18</v>
      </c>
      <c r="C10" s="184">
        <f>+C6*5</f>
        <v>224360</v>
      </c>
      <c r="D10" s="183"/>
      <c r="G10" s="26"/>
    </row>
    <row r="11" spans="2:7" ht="12.75">
      <c r="B11" s="25" t="s">
        <v>19</v>
      </c>
      <c r="C11" s="184">
        <f>+C6*6</f>
        <v>269232</v>
      </c>
      <c r="D11" s="183"/>
      <c r="G11" s="27"/>
    </row>
    <row r="12" ht="12.75">
      <c r="C12" s="27"/>
    </row>
  </sheetData>
  <sheetProtection/>
  <mergeCells count="3">
    <mergeCell ref="A1:M1"/>
    <mergeCell ref="A2:M2"/>
    <mergeCell ref="A3:M3"/>
  </mergeCells>
  <printOptions horizontalCentered="1"/>
  <pageMargins left="0.21" right="0.21" top="1" bottom="1" header="0.5" footer="0.5"/>
  <pageSetup horizontalDpi="600" verticalDpi="600" orientation="landscape" scale="85" r:id="rId2"/>
  <headerFooter alignWithMargins="0">
    <oddFooter>&amp;LPrepared by: Ben Hassankhani&amp;CDry Grain Pulses CRSP&amp;RPage 13
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7.8515625" style="0" customWidth="1"/>
    <col min="2" max="2" width="14.140625" style="0" customWidth="1"/>
    <col min="3" max="3" width="15.421875" style="0" customWidth="1"/>
    <col min="4" max="5" width="18.8515625" style="0" customWidth="1"/>
    <col min="6" max="6" width="14.57421875" style="0" customWidth="1"/>
    <col min="7" max="7" width="9.421875" style="0" customWidth="1"/>
    <col min="10" max="10" width="9.421875" style="0" customWidth="1"/>
  </cols>
  <sheetData>
    <row r="1" spans="1:13" ht="15.75">
      <c r="A1" s="214" t="str">
        <f>'BUDGET V EXPENSE'!A1:G3</f>
        <v>DRY GRAIN PULSES CRSP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</row>
    <row r="2" spans="1:13" ht="15.75">
      <c r="A2" s="217" t="str">
        <f>'BUDGET V EXPENSE'!A2:G2</f>
        <v>COMPARISON OF PROJECTS BUDGET TO EXPENDITURES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ht="16.5" thickBot="1">
      <c r="A3" s="220" t="s">
        <v>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5" spans="2:4" ht="12.75">
      <c r="B5" t="s">
        <v>20</v>
      </c>
      <c r="C5" t="s">
        <v>22</v>
      </c>
      <c r="D5" t="s">
        <v>21</v>
      </c>
    </row>
    <row r="6" spans="2:7" ht="12.75">
      <c r="B6" s="23" t="s">
        <v>14</v>
      </c>
      <c r="C6" s="184">
        <v>48770</v>
      </c>
      <c r="D6" s="183">
        <v>0</v>
      </c>
      <c r="G6" s="26"/>
    </row>
    <row r="7" spans="2:7" ht="12.75">
      <c r="B7" s="25" t="s">
        <v>15</v>
      </c>
      <c r="C7" s="184">
        <f>C6*2</f>
        <v>97540</v>
      </c>
      <c r="D7" s="183">
        <f>D6+0</f>
        <v>0</v>
      </c>
      <c r="G7" s="26"/>
    </row>
    <row r="8" spans="2:7" ht="12.75">
      <c r="B8" s="25" t="s">
        <v>16</v>
      </c>
      <c r="C8" s="184">
        <f>C6*3</f>
        <v>146310</v>
      </c>
      <c r="D8" s="183">
        <f>D7+0</f>
        <v>0</v>
      </c>
      <c r="G8" s="26"/>
    </row>
    <row r="9" spans="2:7" ht="12.75">
      <c r="B9" s="25" t="s">
        <v>17</v>
      </c>
      <c r="C9" s="184">
        <f>C6*4</f>
        <v>195080</v>
      </c>
      <c r="D9" s="183">
        <f>D8+76285+52768</f>
        <v>129053</v>
      </c>
      <c r="G9" s="26"/>
    </row>
    <row r="10" spans="2:7" ht="12.75">
      <c r="B10" s="25" t="s">
        <v>18</v>
      </c>
      <c r="C10" s="184">
        <f>+C6*5</f>
        <v>243850</v>
      </c>
      <c r="D10" s="183"/>
      <c r="G10" s="26"/>
    </row>
    <row r="11" spans="2:7" ht="12.75">
      <c r="B11" s="25" t="s">
        <v>19</v>
      </c>
      <c r="C11" s="184">
        <f>+C6*6</f>
        <v>292620</v>
      </c>
      <c r="D11" s="183"/>
      <c r="G11" s="27"/>
    </row>
    <row r="12" ht="12.75">
      <c r="C12" s="27"/>
    </row>
  </sheetData>
  <sheetProtection/>
  <mergeCells count="3">
    <mergeCell ref="A1:M1"/>
    <mergeCell ref="A2:M2"/>
    <mergeCell ref="A3:M3"/>
  </mergeCells>
  <printOptions horizontalCentered="1"/>
  <pageMargins left="0.21" right="0.21" top="1" bottom="1" header="0.5" footer="0.5"/>
  <pageSetup horizontalDpi="600" verticalDpi="600" orientation="landscape" scale="85" r:id="rId2"/>
  <headerFooter alignWithMargins="0">
    <oddFooter>&amp;LPrepared by: Ben Hassankhani&amp;CDry Grain Pulses CRSP&amp;RPage 14
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7.8515625" style="0" customWidth="1"/>
    <col min="2" max="2" width="14.140625" style="0" customWidth="1"/>
    <col min="3" max="3" width="15.421875" style="0" customWidth="1"/>
    <col min="4" max="5" width="18.8515625" style="0" customWidth="1"/>
    <col min="6" max="6" width="14.57421875" style="0" customWidth="1"/>
    <col min="7" max="7" width="9.421875" style="0" customWidth="1"/>
    <col min="10" max="10" width="9.421875" style="0" customWidth="1"/>
  </cols>
  <sheetData>
    <row r="1" spans="1:13" ht="15.75">
      <c r="A1" s="214" t="str">
        <f>'BUDGET V EXPENSE'!A1:G3</f>
        <v>DRY GRAIN PULSES CRSP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</row>
    <row r="2" spans="1:13" ht="15.75">
      <c r="A2" s="217" t="str">
        <f>'BUDGET V EXPENSE'!A2:G2</f>
        <v>COMPARISON OF PROJECTS BUDGET TO EXPENDITURES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ht="16.5" thickBot="1">
      <c r="A3" s="220" t="s">
        <v>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5" spans="2:4" ht="12.75">
      <c r="B5" t="s">
        <v>20</v>
      </c>
      <c r="C5" t="s">
        <v>22</v>
      </c>
      <c r="D5" t="s">
        <v>21</v>
      </c>
    </row>
    <row r="6" spans="2:7" ht="12.75">
      <c r="B6" s="23" t="s">
        <v>14</v>
      </c>
      <c r="C6" s="184">
        <v>62202</v>
      </c>
      <c r="D6" s="183">
        <v>0</v>
      </c>
      <c r="G6" s="26"/>
    </row>
    <row r="7" spans="2:7" ht="12.75">
      <c r="B7" s="25" t="s">
        <v>15</v>
      </c>
      <c r="C7" s="184">
        <f>C6*2</f>
        <v>124404</v>
      </c>
      <c r="D7" s="183">
        <f>D6+100159</f>
        <v>100159</v>
      </c>
      <c r="G7" s="26"/>
    </row>
    <row r="8" spans="2:7" ht="12.75">
      <c r="B8" s="25" t="s">
        <v>16</v>
      </c>
      <c r="C8" s="184">
        <f>C6*3</f>
        <v>186606</v>
      </c>
      <c r="D8" s="183">
        <f>D7+38927</f>
        <v>139086</v>
      </c>
      <c r="G8" s="26"/>
    </row>
    <row r="9" spans="2:7" ht="12.75">
      <c r="B9" s="25" t="s">
        <v>17</v>
      </c>
      <c r="C9" s="184">
        <f>C6*4</f>
        <v>248808</v>
      </c>
      <c r="D9" s="183">
        <f>D8+54097</f>
        <v>193183</v>
      </c>
      <c r="G9" s="26"/>
    </row>
    <row r="10" spans="2:7" ht="12.75">
      <c r="B10" s="25" t="s">
        <v>18</v>
      </c>
      <c r="C10" s="184">
        <f>+C6*5</f>
        <v>311010</v>
      </c>
      <c r="D10" s="183"/>
      <c r="G10" s="26"/>
    </row>
    <row r="11" spans="2:7" ht="12.75">
      <c r="B11" s="25" t="s">
        <v>19</v>
      </c>
      <c r="C11" s="184">
        <f>+C6*6</f>
        <v>373212</v>
      </c>
      <c r="D11" s="183"/>
      <c r="G11" s="27"/>
    </row>
    <row r="12" ht="12.75">
      <c r="C12" s="27"/>
    </row>
  </sheetData>
  <sheetProtection/>
  <mergeCells count="3">
    <mergeCell ref="A1:M1"/>
    <mergeCell ref="A2:M2"/>
    <mergeCell ref="A3:M3"/>
  </mergeCells>
  <printOptions horizontalCentered="1"/>
  <pageMargins left="0.21" right="0.21" top="1" bottom="1" header="0.5" footer="0.5"/>
  <pageSetup horizontalDpi="600" verticalDpi="600" orientation="landscape" scale="85" r:id="rId2"/>
  <headerFooter alignWithMargins="0">
    <oddFooter>&amp;LPrepared by: Ben Hassankhani&amp;CDry Grain Pulses CRSP&amp;RPage 15
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1.8515625" style="0" bestFit="1" customWidth="1"/>
    <col min="2" max="2" width="24.7109375" style="0" customWidth="1"/>
    <col min="3" max="3" width="21.7109375" style="0" customWidth="1"/>
    <col min="4" max="4" width="19.28125" style="0" customWidth="1"/>
    <col min="5" max="6" width="10.7109375" style="0" bestFit="1" customWidth="1"/>
    <col min="7" max="7" width="8.57421875" style="0" bestFit="1" customWidth="1"/>
  </cols>
  <sheetData>
    <row r="1" spans="1:14" s="32" customFormat="1" ht="15.75">
      <c r="A1" s="214" t="s">
        <v>159</v>
      </c>
      <c r="B1" s="215"/>
      <c r="C1" s="215"/>
      <c r="D1" s="216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32" customFormat="1" ht="15.75">
      <c r="A2" s="225" t="s">
        <v>160</v>
      </c>
      <c r="B2" s="226"/>
      <c r="C2" s="226"/>
      <c r="D2" s="229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32" customFormat="1" ht="16.5" thickBot="1">
      <c r="A3" s="220" t="s">
        <v>150</v>
      </c>
      <c r="B3" s="221"/>
      <c r="C3" s="221"/>
      <c r="D3" s="222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ht="13.5" thickBot="1"/>
    <row r="5" spans="1:4" s="1" customFormat="1" ht="39" thickBot="1">
      <c r="A5" s="162" t="s">
        <v>148</v>
      </c>
      <c r="B5" s="163" t="s">
        <v>149</v>
      </c>
      <c r="C5" s="163" t="s">
        <v>130</v>
      </c>
      <c r="D5" s="164" t="s">
        <v>147</v>
      </c>
    </row>
    <row r="6" s="1" customFormat="1" ht="13.5" thickBot="1"/>
    <row r="7" spans="1:4" ht="12.75">
      <c r="A7" s="161" t="s">
        <v>129</v>
      </c>
      <c r="B7" s="166"/>
      <c r="C7" s="173" t="s">
        <v>161</v>
      </c>
      <c r="D7" s="174"/>
    </row>
    <row r="8" spans="1:4" ht="13.5" thickBot="1">
      <c r="A8" s="160"/>
      <c r="B8" s="167" t="s">
        <v>152</v>
      </c>
      <c r="C8" s="175"/>
      <c r="D8" s="176" t="s">
        <v>162</v>
      </c>
    </row>
    <row r="9" spans="3:4" ht="13.5" thickBot="1">
      <c r="C9" s="4"/>
      <c r="D9" s="4"/>
    </row>
    <row r="10" spans="1:4" ht="12.75">
      <c r="A10" s="168" t="s">
        <v>131</v>
      </c>
      <c r="B10" s="169"/>
      <c r="C10" s="173" t="s">
        <v>163</v>
      </c>
      <c r="D10" s="174"/>
    </row>
    <row r="11" spans="1:4" ht="12.75">
      <c r="A11" s="170"/>
      <c r="B11" s="171" t="s">
        <v>132</v>
      </c>
      <c r="C11" s="62"/>
      <c r="D11" s="177" t="s">
        <v>164</v>
      </c>
    </row>
    <row r="12" spans="1:4" ht="13.5" thickBot="1">
      <c r="A12" s="172"/>
      <c r="B12" s="167" t="s">
        <v>133</v>
      </c>
      <c r="C12" s="175"/>
      <c r="D12" s="176" t="s">
        <v>165</v>
      </c>
    </row>
    <row r="13" spans="3:4" ht="13.5" thickBot="1">
      <c r="C13" s="4"/>
      <c r="D13" s="4"/>
    </row>
    <row r="14" spans="1:4" ht="12.75">
      <c r="A14" s="168" t="s">
        <v>134</v>
      </c>
      <c r="B14" s="169"/>
      <c r="C14" s="173"/>
      <c r="D14" s="174"/>
    </row>
    <row r="15" spans="1:4" ht="12.75">
      <c r="A15" s="170"/>
      <c r="B15" s="171" t="s">
        <v>132</v>
      </c>
      <c r="C15" s="62"/>
      <c r="D15" s="177" t="s">
        <v>166</v>
      </c>
    </row>
    <row r="16" spans="1:4" ht="12.75">
      <c r="A16" s="170"/>
      <c r="B16" s="171" t="s">
        <v>133</v>
      </c>
      <c r="C16" s="62"/>
      <c r="D16" s="177" t="s">
        <v>167</v>
      </c>
    </row>
    <row r="17" spans="1:4" ht="13.5" thickBot="1">
      <c r="A17" s="172"/>
      <c r="B17" s="167" t="s">
        <v>153</v>
      </c>
      <c r="C17" s="175"/>
      <c r="D17" s="176" t="s">
        <v>168</v>
      </c>
    </row>
    <row r="18" spans="3:4" ht="13.5" thickBot="1">
      <c r="C18" s="4"/>
      <c r="D18" s="4"/>
    </row>
    <row r="19" spans="1:4" ht="12.75">
      <c r="A19" s="168" t="s">
        <v>136</v>
      </c>
      <c r="B19" s="169"/>
      <c r="C19" s="173" t="s">
        <v>169</v>
      </c>
      <c r="D19" s="174"/>
    </row>
    <row r="20" spans="1:4" ht="12.75">
      <c r="A20" s="170"/>
      <c r="B20" s="171" t="s">
        <v>137</v>
      </c>
      <c r="C20" s="62" t="s">
        <v>170</v>
      </c>
      <c r="D20" s="177"/>
    </row>
    <row r="21" spans="1:4" ht="12.75">
      <c r="A21" s="170"/>
      <c r="B21" s="171" t="s">
        <v>132</v>
      </c>
      <c r="C21" s="62"/>
      <c r="D21" s="177" t="s">
        <v>166</v>
      </c>
    </row>
    <row r="22" spans="1:4" ht="12.75">
      <c r="A22" s="170"/>
      <c r="B22" s="171" t="s">
        <v>154</v>
      </c>
      <c r="C22" s="62"/>
      <c r="D22" s="177" t="s">
        <v>171</v>
      </c>
    </row>
    <row r="23" spans="1:4" ht="13.5" thickBot="1">
      <c r="A23" s="172"/>
      <c r="B23" s="167" t="s">
        <v>135</v>
      </c>
      <c r="C23" s="175"/>
      <c r="D23" s="176" t="s">
        <v>172</v>
      </c>
    </row>
    <row r="24" spans="3:4" ht="13.5" thickBot="1">
      <c r="C24" s="4"/>
      <c r="D24" s="4"/>
    </row>
    <row r="25" spans="1:4" ht="12.75">
      <c r="A25" s="168" t="s">
        <v>138</v>
      </c>
      <c r="B25" s="169"/>
      <c r="C25" s="173" t="s">
        <v>173</v>
      </c>
      <c r="D25" s="174"/>
    </row>
    <row r="26" spans="1:4" ht="12.75">
      <c r="A26" s="170"/>
      <c r="B26" s="171" t="s">
        <v>139</v>
      </c>
      <c r="C26" s="62"/>
      <c r="D26" s="177" t="s">
        <v>174</v>
      </c>
    </row>
    <row r="27" spans="1:4" ht="12.75">
      <c r="A27" s="170"/>
      <c r="B27" s="171" t="s">
        <v>140</v>
      </c>
      <c r="C27" s="62"/>
      <c r="D27" s="177" t="s">
        <v>165</v>
      </c>
    </row>
    <row r="28" spans="1:4" ht="13.5" thickBot="1">
      <c r="A28" s="172"/>
      <c r="B28" s="167" t="s">
        <v>135</v>
      </c>
      <c r="C28" s="175"/>
      <c r="D28" s="176" t="s">
        <v>175</v>
      </c>
    </row>
    <row r="29" spans="3:4" ht="13.5" thickBot="1">
      <c r="C29" s="4"/>
      <c r="D29" s="4"/>
    </row>
    <row r="30" spans="1:4" ht="12.75">
      <c r="A30" s="168" t="s">
        <v>141</v>
      </c>
      <c r="B30" s="169"/>
      <c r="C30" s="173"/>
      <c r="D30" s="174"/>
    </row>
    <row r="31" spans="1:4" ht="12.75">
      <c r="A31" s="170"/>
      <c r="B31" s="171" t="s">
        <v>129</v>
      </c>
      <c r="C31" s="62" t="s">
        <v>176</v>
      </c>
      <c r="D31" s="177"/>
    </row>
    <row r="32" spans="1:4" ht="12.75">
      <c r="A32" s="170"/>
      <c r="B32" s="171" t="s">
        <v>142</v>
      </c>
      <c r="C32" s="62"/>
      <c r="D32" s="177" t="s">
        <v>177</v>
      </c>
    </row>
    <row r="33" spans="1:4" ht="13.5" thickBot="1">
      <c r="A33" s="172"/>
      <c r="B33" s="167" t="s">
        <v>151</v>
      </c>
      <c r="C33" s="175"/>
      <c r="D33" s="176" t="s">
        <v>167</v>
      </c>
    </row>
    <row r="34" spans="3:4" ht="13.5" thickBot="1">
      <c r="C34" s="4"/>
      <c r="D34" s="4"/>
    </row>
    <row r="35" spans="1:4" ht="12.75">
      <c r="A35" s="168" t="s">
        <v>143</v>
      </c>
      <c r="B35" s="169"/>
      <c r="C35" s="173" t="s">
        <v>178</v>
      </c>
      <c r="D35" s="174"/>
    </row>
    <row r="36" spans="1:4" ht="12.75">
      <c r="A36" s="170"/>
      <c r="B36" s="171" t="s">
        <v>139</v>
      </c>
      <c r="C36" s="62"/>
      <c r="D36" s="177" t="s">
        <v>179</v>
      </c>
    </row>
    <row r="37" spans="1:4" ht="12.75">
      <c r="A37" s="170"/>
      <c r="B37" s="171" t="s">
        <v>144</v>
      </c>
      <c r="C37" s="62"/>
      <c r="D37" s="177" t="s">
        <v>180</v>
      </c>
    </row>
    <row r="38" spans="1:4" ht="13.5" thickBot="1">
      <c r="A38" s="172"/>
      <c r="B38" s="167" t="s">
        <v>145</v>
      </c>
      <c r="C38" s="175"/>
      <c r="D38" s="176" t="s">
        <v>181</v>
      </c>
    </row>
    <row r="39" spans="3:4" ht="13.5" thickBot="1">
      <c r="C39" s="4"/>
      <c r="D39" s="4"/>
    </row>
    <row r="40" spans="1:4" ht="12.75">
      <c r="A40" s="168" t="s">
        <v>146</v>
      </c>
      <c r="B40" s="169"/>
      <c r="C40" s="173" t="s">
        <v>182</v>
      </c>
      <c r="D40" s="174"/>
    </row>
    <row r="41" spans="1:4" ht="12.75">
      <c r="A41" s="170"/>
      <c r="B41" s="171" t="s">
        <v>155</v>
      </c>
      <c r="C41" s="62"/>
      <c r="D41" s="177" t="s">
        <v>166</v>
      </c>
    </row>
    <row r="42" spans="1:4" ht="12.75">
      <c r="A42" s="170"/>
      <c r="B42" s="171" t="s">
        <v>157</v>
      </c>
      <c r="C42" s="62"/>
      <c r="D42" s="177" t="s">
        <v>183</v>
      </c>
    </row>
    <row r="43" spans="1:4" ht="12.75">
      <c r="A43" s="170"/>
      <c r="B43" s="171" t="s">
        <v>156</v>
      </c>
      <c r="C43" s="62"/>
      <c r="D43" s="177" t="s">
        <v>183</v>
      </c>
    </row>
    <row r="44" spans="1:4" ht="13.5" thickBot="1">
      <c r="A44" s="172"/>
      <c r="B44" s="167" t="s">
        <v>158</v>
      </c>
      <c r="C44" s="175"/>
      <c r="D44" s="176" t="s">
        <v>184</v>
      </c>
    </row>
  </sheetData>
  <sheetProtection/>
  <mergeCells count="3">
    <mergeCell ref="A1:D1"/>
    <mergeCell ref="A3:D3"/>
    <mergeCell ref="A2:D2"/>
  </mergeCells>
  <printOptions/>
  <pageMargins left="0.5" right="0" top="1" bottom="1" header="0.5" footer="0.5"/>
  <pageSetup horizontalDpi="600" verticalDpi="600" orientation="portrait" r:id="rId1"/>
  <headerFooter alignWithMargins="0">
    <oddFooter>&amp;LPrepared by: Ben Hassankhani&amp;CDry Grain Pulses CRSP&amp;RPage 16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2.7109375" style="0" customWidth="1"/>
    <col min="2" max="2" width="20.57421875" style="0" customWidth="1"/>
    <col min="3" max="3" width="21.140625" style="0" bestFit="1" customWidth="1"/>
    <col min="4" max="4" width="22.00390625" style="0" customWidth="1"/>
    <col min="5" max="6" width="11.7109375" style="0" bestFit="1" customWidth="1"/>
  </cols>
  <sheetData>
    <row r="1" spans="1:7" ht="12.75">
      <c r="A1" s="197" t="s">
        <v>26</v>
      </c>
      <c r="B1" s="198"/>
      <c r="C1" s="198"/>
      <c r="D1" s="198"/>
      <c r="E1" s="199"/>
      <c r="F1" s="112"/>
      <c r="G1" s="112"/>
    </row>
    <row r="2" spans="1:7" ht="12.75">
      <c r="A2" s="200" t="s">
        <v>106</v>
      </c>
      <c r="B2" s="201"/>
      <c r="C2" s="201"/>
      <c r="D2" s="201"/>
      <c r="E2" s="202"/>
      <c r="F2" s="112"/>
      <c r="G2" s="112"/>
    </row>
    <row r="3" spans="1:7" ht="13.5" thickBot="1">
      <c r="A3" s="203" t="s">
        <v>117</v>
      </c>
      <c r="B3" s="204"/>
      <c r="C3" s="204"/>
      <c r="D3" s="204"/>
      <c r="E3" s="205"/>
      <c r="F3" s="112"/>
      <c r="G3" s="112"/>
    </row>
    <row r="4" ht="12.75">
      <c r="A4" s="149"/>
    </row>
    <row r="5" spans="1:5" ht="12.75">
      <c r="A5" s="179" t="s">
        <v>99</v>
      </c>
      <c r="B5" s="180" t="s">
        <v>100</v>
      </c>
      <c r="C5" s="180" t="s">
        <v>101</v>
      </c>
      <c r="D5" s="180" t="s">
        <v>108</v>
      </c>
      <c r="E5" s="180" t="s">
        <v>102</v>
      </c>
    </row>
    <row r="6" spans="1:5" ht="12.75">
      <c r="A6" s="47" t="s">
        <v>107</v>
      </c>
      <c r="B6" s="118">
        <v>198340</v>
      </c>
      <c r="C6" s="118">
        <v>199932</v>
      </c>
      <c r="D6" s="118">
        <v>248228.12</v>
      </c>
      <c r="E6" s="118">
        <v>150043.88</v>
      </c>
    </row>
    <row r="7" spans="1:5" ht="12.75">
      <c r="A7" s="47" t="s">
        <v>103</v>
      </c>
      <c r="B7" s="118">
        <v>65608</v>
      </c>
      <c r="C7" s="118">
        <v>68020</v>
      </c>
      <c r="D7" s="118">
        <v>82842.86</v>
      </c>
      <c r="E7" s="118">
        <v>50785.14</v>
      </c>
    </row>
    <row r="8" spans="1:5" s="116" customFormat="1" ht="26.25" customHeight="1">
      <c r="A8" s="117" t="s">
        <v>125</v>
      </c>
      <c r="B8" s="119">
        <v>157214</v>
      </c>
      <c r="C8" s="119">
        <v>23144</v>
      </c>
      <c r="D8" s="119">
        <v>134614.81</v>
      </c>
      <c r="E8" s="119">
        <v>45743.19</v>
      </c>
    </row>
    <row r="9" spans="1:5" ht="12.75">
      <c r="A9" s="47" t="s">
        <v>104</v>
      </c>
      <c r="B9" s="118">
        <v>11375</v>
      </c>
      <c r="C9" s="118">
        <v>0</v>
      </c>
      <c r="D9" s="118">
        <v>8179.5</v>
      </c>
      <c r="E9" s="118">
        <v>3195.5</v>
      </c>
    </row>
    <row r="10" spans="1:5" ht="12.75">
      <c r="A10" s="47" t="s">
        <v>124</v>
      </c>
      <c r="B10" s="118">
        <v>24000</v>
      </c>
      <c r="C10" s="118">
        <v>26004</v>
      </c>
      <c r="D10" s="118">
        <v>11256.14</v>
      </c>
      <c r="E10" s="118">
        <v>38747.86</v>
      </c>
    </row>
    <row r="11" spans="1:5" ht="12.75">
      <c r="A11" s="47" t="s">
        <v>105</v>
      </c>
      <c r="B11" s="118">
        <v>118700</v>
      </c>
      <c r="C11" s="118">
        <v>82445</v>
      </c>
      <c r="D11" s="118">
        <v>126131.57</v>
      </c>
      <c r="E11" s="118">
        <v>75013.43</v>
      </c>
    </row>
    <row r="12" spans="1:5" ht="12.75">
      <c r="A12" s="179" t="s">
        <v>0</v>
      </c>
      <c r="B12" s="181">
        <v>575237</v>
      </c>
      <c r="C12" s="181">
        <v>399545</v>
      </c>
      <c r="D12" s="181">
        <v>611253</v>
      </c>
      <c r="E12" s="181">
        <v>363529</v>
      </c>
    </row>
    <row r="17" spans="2:5" ht="12.75">
      <c r="B17" s="152" t="s">
        <v>99</v>
      </c>
      <c r="C17" s="153" t="s">
        <v>127</v>
      </c>
      <c r="D17" s="153" t="s">
        <v>128</v>
      </c>
      <c r="E17" s="154" t="s">
        <v>102</v>
      </c>
    </row>
    <row r="18" spans="2:5" ht="12.75">
      <c r="B18" s="153" t="s">
        <v>107</v>
      </c>
      <c r="C18" s="155">
        <f aca="true" t="shared" si="0" ref="C18:C23">B6+C6</f>
        <v>398272</v>
      </c>
      <c r="D18" s="155">
        <f aca="true" t="shared" si="1" ref="D18:D23">D6</f>
        <v>248228.12</v>
      </c>
      <c r="E18" s="155">
        <f aca="true" t="shared" si="2" ref="E18:E23">C18-D18</f>
        <v>150043.88</v>
      </c>
    </row>
    <row r="19" spans="2:5" ht="12.75">
      <c r="B19" s="153" t="s">
        <v>103</v>
      </c>
      <c r="C19" s="155">
        <f t="shared" si="0"/>
        <v>133628</v>
      </c>
      <c r="D19" s="155">
        <f t="shared" si="1"/>
        <v>82842.86</v>
      </c>
      <c r="E19" s="155">
        <f t="shared" si="2"/>
        <v>50785.14</v>
      </c>
    </row>
    <row r="20" spans="2:5" ht="51">
      <c r="B20" s="156" t="s">
        <v>125</v>
      </c>
      <c r="C20" s="155">
        <f t="shared" si="0"/>
        <v>180358</v>
      </c>
      <c r="D20" s="155">
        <f t="shared" si="1"/>
        <v>134614.81</v>
      </c>
      <c r="E20" s="155">
        <f t="shared" si="2"/>
        <v>45743.19</v>
      </c>
    </row>
    <row r="21" spans="2:5" ht="12.75">
      <c r="B21" s="153" t="s">
        <v>104</v>
      </c>
      <c r="C21" s="155">
        <f t="shared" si="0"/>
        <v>11375</v>
      </c>
      <c r="D21" s="155">
        <f t="shared" si="1"/>
        <v>8179.5</v>
      </c>
      <c r="E21" s="155">
        <f t="shared" si="2"/>
        <v>3195.5</v>
      </c>
    </row>
    <row r="22" spans="2:5" ht="12.75">
      <c r="B22" s="153" t="s">
        <v>124</v>
      </c>
      <c r="C22" s="155">
        <f t="shared" si="0"/>
        <v>50004</v>
      </c>
      <c r="D22" s="155">
        <f t="shared" si="1"/>
        <v>11256.14</v>
      </c>
      <c r="E22" s="155">
        <f t="shared" si="2"/>
        <v>38747.86</v>
      </c>
    </row>
    <row r="23" spans="2:5" ht="12.75">
      <c r="B23" s="153" t="s">
        <v>105</v>
      </c>
      <c r="C23" s="155">
        <f t="shared" si="0"/>
        <v>201145</v>
      </c>
      <c r="D23" s="155">
        <f t="shared" si="1"/>
        <v>126131.57</v>
      </c>
      <c r="E23" s="155">
        <f t="shared" si="2"/>
        <v>75013.43</v>
      </c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 r:id="rId2"/>
  <headerFooter alignWithMargins="0">
    <oddFooter>&amp;LPrepared by: Ben Hassankhani&amp;CDry Grain Pulses CRSP&amp;RPage 2
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4.421875" style="0" customWidth="1"/>
    <col min="2" max="2" width="18.57421875" style="0" customWidth="1"/>
    <col min="3" max="3" width="17.7109375" style="0" customWidth="1"/>
    <col min="4" max="5" width="18.8515625" style="0" customWidth="1"/>
    <col min="6" max="6" width="14.57421875" style="0" customWidth="1"/>
    <col min="7" max="7" width="9.421875" style="0" customWidth="1"/>
  </cols>
  <sheetData>
    <row r="1" spans="1:7" ht="12.75">
      <c r="A1" s="197" t="s">
        <v>26</v>
      </c>
      <c r="B1" s="198"/>
      <c r="C1" s="198"/>
      <c r="D1" s="198"/>
      <c r="E1" s="198"/>
      <c r="F1" s="198"/>
      <c r="G1" s="199"/>
    </row>
    <row r="2" spans="1:7" ht="12.75">
      <c r="A2" s="200" t="s">
        <v>31</v>
      </c>
      <c r="B2" s="201"/>
      <c r="C2" s="201"/>
      <c r="D2" s="201"/>
      <c r="E2" s="201"/>
      <c r="F2" s="201"/>
      <c r="G2" s="202"/>
    </row>
    <row r="3" spans="1:7" ht="13.5" thickBot="1">
      <c r="A3" s="203" t="s">
        <v>27</v>
      </c>
      <c r="B3" s="204"/>
      <c r="C3" s="204"/>
      <c r="D3" s="204"/>
      <c r="E3" s="204"/>
      <c r="F3" s="204"/>
      <c r="G3" s="205"/>
    </row>
    <row r="4" spans="1:7" ht="13.5" thickBot="1">
      <c r="A4" s="143"/>
      <c r="B4" s="145"/>
      <c r="C4" s="32"/>
      <c r="D4" s="145"/>
      <c r="E4" s="145"/>
      <c r="F4" s="145"/>
      <c r="G4" s="144"/>
    </row>
    <row r="5" spans="1:7" s="1" customFormat="1" ht="30.75" customHeight="1">
      <c r="A5" s="10"/>
      <c r="B5" s="11" t="s">
        <v>10</v>
      </c>
      <c r="C5" s="11" t="s">
        <v>24</v>
      </c>
      <c r="D5" s="11" t="s">
        <v>23</v>
      </c>
      <c r="E5" s="11" t="s">
        <v>11</v>
      </c>
      <c r="F5" s="11" t="s">
        <v>8</v>
      </c>
      <c r="G5" s="12" t="s">
        <v>9</v>
      </c>
    </row>
    <row r="6" spans="1:8" ht="12.75">
      <c r="A6" s="18" t="s">
        <v>1</v>
      </c>
      <c r="B6" s="8">
        <v>293221</v>
      </c>
      <c r="C6" s="8">
        <v>58050</v>
      </c>
      <c r="D6" s="8">
        <v>88768</v>
      </c>
      <c r="E6" s="8">
        <f>B6-C6-D6</f>
        <v>146403</v>
      </c>
      <c r="F6" s="9">
        <f>(C6+D6)/B6</f>
        <v>0.5007076573642406</v>
      </c>
      <c r="G6" s="14">
        <f>E6/B6</f>
        <v>0.4992923426357594</v>
      </c>
      <c r="H6" s="29"/>
    </row>
    <row r="7" spans="1:8" ht="12.75">
      <c r="A7" s="18" t="s">
        <v>3</v>
      </c>
      <c r="B7" s="8">
        <v>298831</v>
      </c>
      <c r="C7" s="8">
        <v>30547</v>
      </c>
      <c r="D7" s="8">
        <v>46997</v>
      </c>
      <c r="E7" s="8">
        <f aca="true" t="shared" si="0" ref="E7:E13">B7-C7-D7</f>
        <v>221287</v>
      </c>
      <c r="F7" s="9">
        <f aca="true" t="shared" si="1" ref="F7:F13">(C7+D7)/B7</f>
        <v>0.25949115051651267</v>
      </c>
      <c r="G7" s="14">
        <f aca="true" t="shared" si="2" ref="G7:G13">E7/B7</f>
        <v>0.7405088494834873</v>
      </c>
      <c r="H7" s="29"/>
    </row>
    <row r="8" spans="1:8" ht="12.75">
      <c r="A8" s="18" t="s">
        <v>4</v>
      </c>
      <c r="B8" s="8">
        <v>247924</v>
      </c>
      <c r="C8" s="8">
        <v>36901</v>
      </c>
      <c r="D8" s="8">
        <v>85189</v>
      </c>
      <c r="E8" s="8">
        <f t="shared" si="0"/>
        <v>125834</v>
      </c>
      <c r="F8" s="9">
        <f t="shared" si="1"/>
        <v>0.4924492989787193</v>
      </c>
      <c r="G8" s="14">
        <f t="shared" si="2"/>
        <v>0.5075507010212807</v>
      </c>
      <c r="H8" s="29"/>
    </row>
    <row r="9" spans="1:8" ht="12.75">
      <c r="A9" s="18" t="s">
        <v>7</v>
      </c>
      <c r="B9" s="8">
        <v>333250</v>
      </c>
      <c r="C9" s="8">
        <v>25195</v>
      </c>
      <c r="D9" s="8">
        <v>177627</v>
      </c>
      <c r="E9" s="8">
        <f t="shared" si="0"/>
        <v>130428</v>
      </c>
      <c r="F9" s="9">
        <f t="shared" si="1"/>
        <v>0.6086181545386347</v>
      </c>
      <c r="G9" s="14">
        <f t="shared" si="2"/>
        <v>0.39138184546136534</v>
      </c>
      <c r="H9" s="29"/>
    </row>
    <row r="10" spans="1:8" ht="12.75">
      <c r="A10" s="18" t="s">
        <v>6</v>
      </c>
      <c r="B10" s="8">
        <v>349420</v>
      </c>
      <c r="C10" s="8">
        <v>18003</v>
      </c>
      <c r="D10" s="8">
        <v>70337</v>
      </c>
      <c r="E10" s="8">
        <f t="shared" si="0"/>
        <v>261080</v>
      </c>
      <c r="F10" s="9">
        <f t="shared" si="1"/>
        <v>0.2528189571289566</v>
      </c>
      <c r="G10" s="14">
        <f t="shared" si="2"/>
        <v>0.7471810428710435</v>
      </c>
      <c r="H10" s="29"/>
    </row>
    <row r="11" spans="1:8" ht="12.75">
      <c r="A11" s="18" t="s">
        <v>5</v>
      </c>
      <c r="B11" s="8">
        <v>269227</v>
      </c>
      <c r="C11" s="8">
        <v>109106</v>
      </c>
      <c r="D11" s="8">
        <v>84833</v>
      </c>
      <c r="E11" s="8">
        <f t="shared" si="0"/>
        <v>75288</v>
      </c>
      <c r="F11" s="9">
        <f t="shared" si="1"/>
        <v>0.7203549421120468</v>
      </c>
      <c r="G11" s="14">
        <f t="shared" si="2"/>
        <v>0.2796450578879533</v>
      </c>
      <c r="H11" s="29"/>
    </row>
    <row r="12" spans="1:8" ht="12.75">
      <c r="A12" s="18" t="s">
        <v>2</v>
      </c>
      <c r="B12" s="8">
        <v>292616</v>
      </c>
      <c r="C12" s="8">
        <v>61464</v>
      </c>
      <c r="D12" s="8">
        <v>67589</v>
      </c>
      <c r="E12" s="8">
        <f t="shared" si="0"/>
        <v>163563</v>
      </c>
      <c r="F12" s="9">
        <f t="shared" si="1"/>
        <v>0.4410319326352626</v>
      </c>
      <c r="G12" s="14">
        <f t="shared" si="2"/>
        <v>0.5589680673647374</v>
      </c>
      <c r="H12" s="29"/>
    </row>
    <row r="13" spans="1:8" ht="13.5" thickBot="1">
      <c r="A13" s="3" t="s">
        <v>109</v>
      </c>
      <c r="B13" s="15">
        <v>373212</v>
      </c>
      <c r="C13" s="15">
        <v>22886</v>
      </c>
      <c r="D13" s="15">
        <v>163797</v>
      </c>
      <c r="E13" s="15">
        <f t="shared" si="0"/>
        <v>186529</v>
      </c>
      <c r="F13" s="16">
        <f t="shared" si="1"/>
        <v>0.5002063170530422</v>
      </c>
      <c r="G13" s="17">
        <f t="shared" si="2"/>
        <v>0.49979368294695775</v>
      </c>
      <c r="H13" s="29"/>
    </row>
    <row r="14" spans="1:7" ht="12.75">
      <c r="A14" s="123"/>
      <c r="B14" s="6"/>
      <c r="C14" s="6"/>
      <c r="D14" s="6"/>
      <c r="E14" s="6"/>
      <c r="F14" s="7"/>
      <c r="G14" s="7"/>
    </row>
    <row r="15" spans="2:7" ht="12.75">
      <c r="B15" s="6"/>
      <c r="C15" s="6"/>
      <c r="D15" s="6"/>
      <c r="E15" s="6"/>
      <c r="F15" s="7"/>
      <c r="G15" s="7"/>
    </row>
    <row r="16" spans="2:7" ht="12.75">
      <c r="B16" s="6"/>
      <c r="C16" s="6"/>
      <c r="D16" s="6"/>
      <c r="E16" s="6"/>
      <c r="F16" s="7"/>
      <c r="G16" s="7"/>
    </row>
    <row r="17" spans="2:7" ht="12.75">
      <c r="B17" s="6"/>
      <c r="C17" s="6"/>
      <c r="D17" s="6"/>
      <c r="E17" s="6"/>
      <c r="F17" s="7"/>
      <c r="G17" s="7"/>
    </row>
    <row r="18" spans="2:7" ht="12.75">
      <c r="B18" s="6"/>
      <c r="C18" s="6"/>
      <c r="D18" s="6"/>
      <c r="E18" s="6"/>
      <c r="F18" s="7"/>
      <c r="G18" s="7"/>
    </row>
    <row r="19" spans="2:7" ht="12.75">
      <c r="B19" s="6"/>
      <c r="C19" s="6"/>
      <c r="D19" s="6"/>
      <c r="E19" s="6"/>
      <c r="F19" s="7"/>
      <c r="G19" s="7"/>
    </row>
    <row r="20" spans="2:7" ht="12.75">
      <c r="B20" s="6"/>
      <c r="C20" s="6"/>
      <c r="D20" s="6"/>
      <c r="E20" s="6"/>
      <c r="F20" s="7"/>
      <c r="G20" s="7"/>
    </row>
    <row r="21" spans="2:7" ht="12.75">
      <c r="B21" s="6"/>
      <c r="C21" s="6"/>
      <c r="D21" s="6"/>
      <c r="E21" s="6"/>
      <c r="F21" s="7"/>
      <c r="G21" s="7"/>
    </row>
    <row r="22" spans="2:7" ht="12.75">
      <c r="B22" s="6"/>
      <c r="C22" s="6"/>
      <c r="D22" s="6"/>
      <c r="E22" s="6"/>
      <c r="F22" s="7"/>
      <c r="G22" s="7"/>
    </row>
    <row r="23" spans="2:7" ht="12.75">
      <c r="B23" s="6"/>
      <c r="C23" s="6"/>
      <c r="D23" s="6"/>
      <c r="E23" s="6"/>
      <c r="F23" s="7"/>
      <c r="G23" s="7"/>
    </row>
    <row r="24" spans="2:7" ht="12.75">
      <c r="B24" s="6"/>
      <c r="C24" s="6"/>
      <c r="D24" s="6"/>
      <c r="E24" s="6"/>
      <c r="F24" s="7"/>
      <c r="G24" s="7"/>
    </row>
    <row r="25" spans="2:7" ht="12.75">
      <c r="B25" s="4"/>
      <c r="C25" s="4"/>
      <c r="D25" s="4"/>
      <c r="E25" s="4"/>
      <c r="F25" s="7"/>
      <c r="G25" s="7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r:id="rId2"/>
  <headerFooter alignWithMargins="0">
    <oddFooter>&amp;LPrepared by: Ben Hassankhani&amp;CDry Grain Pulses CRSP&amp;R&amp;[Page 3 
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2.8515625" style="0" customWidth="1"/>
    <col min="2" max="2" width="24.421875" style="0" customWidth="1"/>
    <col min="3" max="3" width="23.28125" style="0" customWidth="1"/>
    <col min="4" max="4" width="11.421875" style="0" bestFit="1" customWidth="1"/>
    <col min="9" max="9" width="16.28125" style="0" bestFit="1" customWidth="1"/>
    <col min="10" max="10" width="9.421875" style="0" bestFit="1" customWidth="1"/>
    <col min="11" max="11" width="10.00390625" style="0" bestFit="1" customWidth="1"/>
    <col min="12" max="13" width="9.421875" style="0" bestFit="1" customWidth="1"/>
    <col min="14" max="14" width="16.00390625" style="0" bestFit="1" customWidth="1"/>
  </cols>
  <sheetData>
    <row r="1" spans="1:7" ht="12.75">
      <c r="A1" s="201" t="s">
        <v>26</v>
      </c>
      <c r="B1" s="201"/>
      <c r="C1" s="201"/>
      <c r="D1" s="201"/>
      <c r="E1" s="201"/>
      <c r="F1" s="201"/>
      <c r="G1" s="201"/>
    </row>
    <row r="2" spans="1:7" ht="12.75">
      <c r="A2" s="201" t="s">
        <v>32</v>
      </c>
      <c r="B2" s="201"/>
      <c r="C2" s="201"/>
      <c r="D2" s="201"/>
      <c r="E2" s="201"/>
      <c r="F2" s="201"/>
      <c r="G2" s="201"/>
    </row>
    <row r="3" spans="1:7" ht="12.75">
      <c r="A3" s="201" t="s">
        <v>27</v>
      </c>
      <c r="B3" s="201"/>
      <c r="C3" s="201"/>
      <c r="D3" s="201"/>
      <c r="E3" s="201"/>
      <c r="F3" s="201"/>
      <c r="G3" s="201"/>
    </row>
    <row r="4" spans="1:4" ht="13.5" thickBot="1">
      <c r="A4" s="157"/>
      <c r="B4" s="157"/>
      <c r="C4" s="157"/>
      <c r="D4" s="157"/>
    </row>
    <row r="5" spans="1:5" s="1" customFormat="1" ht="36.75" customHeight="1">
      <c r="A5" s="10"/>
      <c r="B5" s="11" t="s">
        <v>25</v>
      </c>
      <c r="C5" s="11" t="s">
        <v>28</v>
      </c>
      <c r="D5" s="12" t="s">
        <v>11</v>
      </c>
      <c r="E5" s="28"/>
    </row>
    <row r="6" spans="1:5" s="1" customFormat="1" ht="12.75">
      <c r="A6" s="120" t="s">
        <v>98</v>
      </c>
      <c r="B6" s="121">
        <v>243696</v>
      </c>
      <c r="C6" s="121">
        <f>27963+121281</f>
        <v>149244</v>
      </c>
      <c r="D6" s="122">
        <f>B6-C6</f>
        <v>94452</v>
      </c>
      <c r="E6" s="28"/>
    </row>
    <row r="7" spans="1:15" ht="12.75">
      <c r="A7" s="18" t="s">
        <v>1</v>
      </c>
      <c r="B7" s="8">
        <v>42757</v>
      </c>
      <c r="C7" s="8">
        <v>19732</v>
      </c>
      <c r="D7" s="19">
        <f>B7-C7</f>
        <v>23025</v>
      </c>
      <c r="E7" s="29"/>
      <c r="H7" s="124"/>
      <c r="I7" s="128"/>
      <c r="J7" s="128"/>
      <c r="K7" s="128"/>
      <c r="L7" s="128"/>
      <c r="M7" s="128"/>
      <c r="N7" s="128"/>
      <c r="O7" s="32"/>
    </row>
    <row r="8" spans="1:15" ht="12.75">
      <c r="A8" s="18" t="s">
        <v>3</v>
      </c>
      <c r="B8" s="8">
        <v>114000</v>
      </c>
      <c r="C8" s="8">
        <v>33434</v>
      </c>
      <c r="D8" s="19">
        <f aca="true" t="shared" si="0" ref="D8:D14">B8-C8</f>
        <v>80566</v>
      </c>
      <c r="E8" s="29"/>
      <c r="H8" s="124"/>
      <c r="I8" s="128"/>
      <c r="J8" s="128"/>
      <c r="K8" s="128"/>
      <c r="L8" s="128"/>
      <c r="M8" s="128"/>
      <c r="N8" s="128"/>
      <c r="O8" s="32"/>
    </row>
    <row r="9" spans="1:15" ht="12.75">
      <c r="A9" s="18" t="s">
        <v>4</v>
      </c>
      <c r="B9" s="8">
        <v>36280</v>
      </c>
      <c r="C9" s="8">
        <v>12532</v>
      </c>
      <c r="D9" s="19">
        <f t="shared" si="0"/>
        <v>23748</v>
      </c>
      <c r="E9" s="29"/>
      <c r="H9" s="124"/>
      <c r="I9" s="129"/>
      <c r="J9" s="129"/>
      <c r="K9" s="129"/>
      <c r="L9" s="129"/>
      <c r="M9" s="129"/>
      <c r="N9" s="129"/>
      <c r="O9" s="32"/>
    </row>
    <row r="10" spans="1:15" ht="12.75">
      <c r="A10" s="18" t="s">
        <v>7</v>
      </c>
      <c r="B10" s="8">
        <v>61030</v>
      </c>
      <c r="C10" s="8">
        <v>1456</v>
      </c>
      <c r="D10" s="19">
        <f t="shared" si="0"/>
        <v>59574</v>
      </c>
      <c r="E10" s="29"/>
      <c r="H10" s="124"/>
      <c r="I10" s="130"/>
      <c r="J10" s="130"/>
      <c r="K10" s="130"/>
      <c r="L10" s="130"/>
      <c r="M10" s="130"/>
      <c r="N10" s="126"/>
      <c r="O10" s="32"/>
    </row>
    <row r="11" spans="1:15" ht="12.75">
      <c r="A11" s="18" t="s">
        <v>6</v>
      </c>
      <c r="B11" s="8">
        <v>37081</v>
      </c>
      <c r="C11" s="8">
        <v>9630</v>
      </c>
      <c r="D11" s="19">
        <f t="shared" si="0"/>
        <v>27451</v>
      </c>
      <c r="E11" s="29"/>
      <c r="H11" s="131"/>
      <c r="I11" s="132"/>
      <c r="J11" s="132"/>
      <c r="K11" s="132"/>
      <c r="L11" s="132"/>
      <c r="M11" s="132"/>
      <c r="N11" s="125"/>
      <c r="O11" s="32"/>
    </row>
    <row r="12" spans="1:15" ht="12.75">
      <c r="A12" s="18" t="s">
        <v>5</v>
      </c>
      <c r="B12" s="8">
        <v>66250</v>
      </c>
      <c r="C12" s="8">
        <v>39709</v>
      </c>
      <c r="D12" s="19">
        <f t="shared" si="0"/>
        <v>26541</v>
      </c>
      <c r="E12" s="29"/>
      <c r="H12" s="131"/>
      <c r="I12" s="125"/>
      <c r="J12" s="125"/>
      <c r="K12" s="125"/>
      <c r="L12" s="125"/>
      <c r="M12" s="125"/>
      <c r="N12" s="125"/>
      <c r="O12" s="32"/>
    </row>
    <row r="13" spans="1:15" ht="12.75">
      <c r="A13" s="18" t="s">
        <v>2</v>
      </c>
      <c r="B13" s="8">
        <v>113854</v>
      </c>
      <c r="C13" s="8">
        <v>8688</v>
      </c>
      <c r="D13" s="19">
        <f t="shared" si="0"/>
        <v>105166</v>
      </c>
      <c r="E13" s="29"/>
      <c r="H13" s="133"/>
      <c r="I13" s="125"/>
      <c r="J13" s="125"/>
      <c r="K13" s="134"/>
      <c r="L13" s="125"/>
      <c r="M13" s="125"/>
      <c r="N13" s="125"/>
      <c r="O13" s="32"/>
    </row>
    <row r="14" spans="1:15" ht="13.5" thickBot="1">
      <c r="A14" s="3" t="s">
        <v>109</v>
      </c>
      <c r="B14" s="15">
        <v>77927</v>
      </c>
      <c r="C14" s="15">
        <v>17332</v>
      </c>
      <c r="D14" s="30">
        <f t="shared" si="0"/>
        <v>60595</v>
      </c>
      <c r="E14" s="29"/>
      <c r="H14" s="124"/>
      <c r="I14" s="126"/>
      <c r="J14" s="126"/>
      <c r="K14" s="126"/>
      <c r="L14" s="126"/>
      <c r="M14" s="126"/>
      <c r="N14" s="126"/>
      <c r="O14" s="32"/>
    </row>
    <row r="15" spans="1:15" ht="13.5" thickBot="1">
      <c r="A15" s="146" t="s">
        <v>110</v>
      </c>
      <c r="B15" s="6"/>
      <c r="C15" s="6"/>
      <c r="H15" s="124"/>
      <c r="I15" s="125"/>
      <c r="J15" s="125"/>
      <c r="K15" s="125"/>
      <c r="L15" s="125"/>
      <c r="M15" s="125"/>
      <c r="N15" s="126"/>
      <c r="O15" s="32"/>
    </row>
    <row r="16" spans="1:15" s="136" customFormat="1" ht="25.5">
      <c r="A16" s="135"/>
      <c r="B16" s="138" t="s">
        <v>112</v>
      </c>
      <c r="C16" s="138" t="s">
        <v>113</v>
      </c>
      <c r="D16" s="139" t="s">
        <v>102</v>
      </c>
      <c r="H16" s="137"/>
      <c r="I16" s="137"/>
      <c r="J16" s="137"/>
      <c r="K16" s="137"/>
      <c r="L16" s="137"/>
      <c r="M16" s="137"/>
      <c r="N16" s="137"/>
      <c r="O16" s="137"/>
    </row>
    <row r="17" spans="1:15" ht="13.5" thickBot="1">
      <c r="A17" s="127" t="s">
        <v>111</v>
      </c>
      <c r="B17" s="15">
        <v>573828</v>
      </c>
      <c r="C17" s="15">
        <v>291757</v>
      </c>
      <c r="D17" s="30">
        <f>B17-C17</f>
        <v>282071</v>
      </c>
      <c r="H17" s="32"/>
      <c r="I17" s="32"/>
      <c r="J17" s="32"/>
      <c r="K17" s="32"/>
      <c r="L17" s="32"/>
      <c r="M17" s="32"/>
      <c r="N17" s="32"/>
      <c r="O17" s="32"/>
    </row>
    <row r="18" spans="1:3" ht="12.75">
      <c r="A18" s="123"/>
      <c r="B18" s="6"/>
      <c r="C18" s="6"/>
    </row>
    <row r="19" spans="2:3" ht="12.75">
      <c r="B19" s="6"/>
      <c r="C19" s="6"/>
    </row>
    <row r="20" spans="2:3" ht="12.75">
      <c r="B20" s="6"/>
      <c r="C20" s="6"/>
    </row>
    <row r="21" spans="2:3" ht="12.75">
      <c r="B21" s="6"/>
      <c r="C21" s="6"/>
    </row>
    <row r="22" spans="2:3" ht="12.75">
      <c r="B22" s="6"/>
      <c r="C22" s="6"/>
    </row>
    <row r="23" spans="2:3" ht="12.75">
      <c r="B23" s="6"/>
      <c r="C23" s="6"/>
    </row>
    <row r="24" spans="2:3" ht="12.75">
      <c r="B24" s="6"/>
      <c r="C24" s="6"/>
    </row>
    <row r="25" spans="2:3" ht="12.75">
      <c r="B25" s="6"/>
      <c r="C25" s="6"/>
    </row>
    <row r="26" spans="2:3" ht="12.75">
      <c r="B26" s="6"/>
      <c r="C26" s="6"/>
    </row>
    <row r="27" spans="2:3" ht="12.75">
      <c r="B27" s="6"/>
      <c r="C27" s="6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</sheetData>
  <sheetProtection/>
  <mergeCells count="3">
    <mergeCell ref="A1:G1"/>
    <mergeCell ref="A2:G2"/>
    <mergeCell ref="A3:G3"/>
  </mergeCells>
  <printOptions horizontalCentered="1"/>
  <pageMargins left="0.75" right="0.75" top="0.46" bottom="0.49" header="0.26" footer="0.5"/>
  <pageSetup horizontalDpi="600" verticalDpi="600" orientation="landscape" r:id="rId2"/>
  <headerFooter alignWithMargins="0">
    <oddFooter>&amp;LPrepared by: Ben Hassankhani&amp;CDry Grain Pulses CRSP&amp;RPage 4
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4.7109375" style="0" customWidth="1"/>
    <col min="2" max="2" width="19.140625" style="0" customWidth="1"/>
    <col min="3" max="4" width="18.8515625" style="0" customWidth="1"/>
    <col min="5" max="5" width="18.8515625" style="5" customWidth="1"/>
  </cols>
  <sheetData>
    <row r="1" spans="1:5" ht="12.75">
      <c r="A1" s="197" t="s">
        <v>26</v>
      </c>
      <c r="B1" s="198"/>
      <c r="C1" s="198"/>
      <c r="D1" s="206"/>
      <c r="E1" s="199"/>
    </row>
    <row r="2" spans="1:5" ht="12.75">
      <c r="A2" s="200" t="s">
        <v>126</v>
      </c>
      <c r="B2" s="201"/>
      <c r="C2" s="201"/>
      <c r="D2" s="207"/>
      <c r="E2" s="202"/>
    </row>
    <row r="3" spans="1:5" ht="13.5" thickBot="1">
      <c r="A3" s="203" t="s">
        <v>27</v>
      </c>
      <c r="B3" s="204"/>
      <c r="C3" s="204"/>
      <c r="D3" s="208"/>
      <c r="E3" s="205"/>
    </row>
    <row r="4" spans="1:5" ht="13.5" thickBot="1">
      <c r="A4" s="145"/>
      <c r="B4" s="32"/>
      <c r="C4" s="145"/>
      <c r="D4" s="145"/>
      <c r="E4" s="150"/>
    </row>
    <row r="5" spans="1:5" s="1" customFormat="1" ht="30.75" customHeight="1">
      <c r="A5" s="10"/>
      <c r="B5" s="11" t="s">
        <v>29</v>
      </c>
      <c r="C5" s="11" t="s">
        <v>30</v>
      </c>
      <c r="D5" s="20" t="s">
        <v>12</v>
      </c>
      <c r="E5" s="21" t="s">
        <v>13</v>
      </c>
    </row>
    <row r="6" spans="1:5" s="1" customFormat="1" ht="12.75">
      <c r="A6" s="18" t="s">
        <v>98</v>
      </c>
      <c r="B6" s="8">
        <v>485121</v>
      </c>
      <c r="C6" s="8">
        <v>126132</v>
      </c>
      <c r="D6" s="22">
        <f>B6/(B6+C6)</f>
        <v>0.7936500925148834</v>
      </c>
      <c r="E6" s="14">
        <f>C6/(B6+C6)</f>
        <v>0.20634990748511664</v>
      </c>
    </row>
    <row r="7" spans="1:6" ht="12.75">
      <c r="A7" s="18" t="s">
        <v>1</v>
      </c>
      <c r="B7" s="8">
        <v>117778</v>
      </c>
      <c r="C7" s="8">
        <v>29041</v>
      </c>
      <c r="D7" s="22">
        <f>B7/(B7+C7)</f>
        <v>0.8021986255184955</v>
      </c>
      <c r="E7" s="14">
        <f>C7/(B7+C7)</f>
        <v>0.19780137448150445</v>
      </c>
      <c r="F7" s="29"/>
    </row>
    <row r="8" spans="1:6" ht="12.75">
      <c r="A8" s="18" t="s">
        <v>3</v>
      </c>
      <c r="B8" s="8">
        <v>55035</v>
      </c>
      <c r="C8" s="8">
        <v>22509</v>
      </c>
      <c r="D8" s="22">
        <f aca="true" t="shared" si="0" ref="D8:D14">B8/(B8+C8)</f>
        <v>0.7097260909935005</v>
      </c>
      <c r="E8" s="14">
        <f aca="true" t="shared" si="1" ref="E8:E14">C8/(B8+C8)</f>
        <v>0.2902739090064995</v>
      </c>
      <c r="F8" s="29"/>
    </row>
    <row r="9" spans="1:6" ht="12.75">
      <c r="A9" s="18" t="s">
        <v>4</v>
      </c>
      <c r="B9" s="8">
        <v>91284</v>
      </c>
      <c r="C9" s="8">
        <v>30806</v>
      </c>
      <c r="D9" s="22">
        <f t="shared" si="0"/>
        <v>0.7476779425014334</v>
      </c>
      <c r="E9" s="14">
        <f t="shared" si="1"/>
        <v>0.2523220574985666</v>
      </c>
      <c r="F9" s="29"/>
    </row>
    <row r="10" spans="1:6" ht="12.75">
      <c r="A10" s="18" t="s">
        <v>7</v>
      </c>
      <c r="B10" s="8">
        <v>176531</v>
      </c>
      <c r="C10" s="8">
        <v>26291</v>
      </c>
      <c r="D10" s="22">
        <f t="shared" si="0"/>
        <v>0.8703740225419333</v>
      </c>
      <c r="E10" s="14">
        <f t="shared" si="1"/>
        <v>0.12962597745806667</v>
      </c>
      <c r="F10" s="29"/>
    </row>
    <row r="11" spans="1:6" ht="13.5" thickBot="1">
      <c r="A11" s="18" t="s">
        <v>6</v>
      </c>
      <c r="B11" s="8">
        <v>71952</v>
      </c>
      <c r="C11" s="8">
        <v>16388</v>
      </c>
      <c r="D11" s="22">
        <f t="shared" si="0"/>
        <v>0.814489472492642</v>
      </c>
      <c r="E11" s="14">
        <f t="shared" si="1"/>
        <v>0.18551052750735794</v>
      </c>
      <c r="F11" s="29"/>
    </row>
    <row r="12" spans="1:9" ht="13.5" thickBot="1">
      <c r="A12" s="18" t="s">
        <v>5</v>
      </c>
      <c r="B12" s="8">
        <v>144044</v>
      </c>
      <c r="C12" s="8">
        <v>49895</v>
      </c>
      <c r="D12" s="22">
        <f t="shared" si="0"/>
        <v>0.7427283836670293</v>
      </c>
      <c r="E12" s="14">
        <f t="shared" si="1"/>
        <v>0.2572716163329707</v>
      </c>
      <c r="F12" s="29"/>
      <c r="I12" s="158"/>
    </row>
    <row r="13" spans="1:6" ht="12.75">
      <c r="A13" s="18" t="s">
        <v>2</v>
      </c>
      <c r="B13" s="8">
        <v>83260</v>
      </c>
      <c r="C13" s="8">
        <v>45793</v>
      </c>
      <c r="D13" s="22">
        <f t="shared" si="0"/>
        <v>0.6451612903225806</v>
      </c>
      <c r="E13" s="14">
        <f t="shared" si="1"/>
        <v>0.3548387096774194</v>
      </c>
      <c r="F13" s="29"/>
    </row>
    <row r="14" spans="1:6" ht="13.5" thickBot="1">
      <c r="A14" s="3" t="s">
        <v>109</v>
      </c>
      <c r="B14" s="15">
        <v>156864</v>
      </c>
      <c r="C14" s="15">
        <v>29819</v>
      </c>
      <c r="D14" s="140">
        <f t="shared" si="0"/>
        <v>0.8402693335761692</v>
      </c>
      <c r="E14" s="17">
        <f t="shared" si="1"/>
        <v>0.15973066642383077</v>
      </c>
      <c r="F14" s="29"/>
    </row>
    <row r="15" spans="1:4" ht="12.75">
      <c r="A15" s="123" t="s">
        <v>118</v>
      </c>
      <c r="B15" s="6"/>
      <c r="C15" s="6"/>
      <c r="D15" s="6"/>
    </row>
    <row r="16" ht="12.75">
      <c r="E16" s="7"/>
    </row>
    <row r="17" spans="2:5" ht="12.75">
      <c r="B17" s="6"/>
      <c r="C17" s="6"/>
      <c r="D17" s="6"/>
      <c r="E17" s="7"/>
    </row>
    <row r="18" spans="2:5" ht="12.75">
      <c r="B18" s="6"/>
      <c r="C18" s="6"/>
      <c r="D18" s="6"/>
      <c r="E18" s="7"/>
    </row>
    <row r="19" spans="2:5" ht="12.75">
      <c r="B19" s="6"/>
      <c r="C19" s="6"/>
      <c r="D19" s="6"/>
      <c r="E19" s="7"/>
    </row>
    <row r="20" spans="2:5" ht="12.75">
      <c r="B20" s="6"/>
      <c r="C20" s="6"/>
      <c r="D20" s="6"/>
      <c r="E20" s="7"/>
    </row>
    <row r="21" spans="2:5" ht="12.75">
      <c r="B21" s="6"/>
      <c r="C21" s="6"/>
      <c r="D21" s="6"/>
      <c r="E21" s="7"/>
    </row>
    <row r="22" spans="2:5" ht="12.75">
      <c r="B22" s="6"/>
      <c r="C22" s="6"/>
      <c r="D22" s="6"/>
      <c r="E22" s="7"/>
    </row>
    <row r="23" spans="2:5" ht="12.75">
      <c r="B23" s="6"/>
      <c r="C23" s="6"/>
      <c r="D23" s="6"/>
      <c r="E23" s="7"/>
    </row>
    <row r="24" spans="2:5" ht="12.75">
      <c r="B24" s="4"/>
      <c r="C24" s="4"/>
      <c r="D24" s="4"/>
      <c r="E24" s="7"/>
    </row>
    <row r="25" spans="2:5" ht="12.75">
      <c r="B25" s="4"/>
      <c r="C25" s="4"/>
      <c r="D25" s="4"/>
      <c r="E25" s="7"/>
    </row>
    <row r="26" spans="2:5" ht="12.75">
      <c r="B26" s="4"/>
      <c r="C26" s="4"/>
      <c r="D26" s="4"/>
      <c r="E26" s="7"/>
    </row>
  </sheetData>
  <sheetProtection/>
  <mergeCells count="3">
    <mergeCell ref="A1:E1"/>
    <mergeCell ref="A2:E2"/>
    <mergeCell ref="A3:E3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&amp;LPrepared by: Ben Hassankhani&amp;CDry Grain Pulses CRSP&amp;RPage 5
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00390625" style="4" customWidth="1"/>
    <col min="2" max="2" width="21.28125" style="0" customWidth="1"/>
    <col min="3" max="3" width="19.7109375" style="0" customWidth="1"/>
    <col min="4" max="4" width="11.421875" style="0" bestFit="1" customWidth="1"/>
    <col min="5" max="5" width="17.28125" style="63" customWidth="1"/>
    <col min="6" max="6" width="45.7109375" style="64" customWidth="1"/>
    <col min="7" max="7" width="12.00390625" style="0" customWidth="1"/>
    <col min="8" max="8" width="8.00390625" style="0" customWidth="1"/>
    <col min="9" max="9" width="36.7109375" style="0" customWidth="1"/>
    <col min="10" max="10" width="14.7109375" style="0" customWidth="1"/>
    <col min="11" max="11" width="16.421875" style="0" customWidth="1"/>
    <col min="12" max="12" width="17.8515625" style="0" customWidth="1"/>
    <col min="13" max="13" width="25.8515625" style="0" customWidth="1"/>
    <col min="14" max="14" width="13.421875" style="0" customWidth="1"/>
    <col min="15" max="15" width="16.421875" style="0" customWidth="1"/>
    <col min="16" max="16" width="11.7109375" style="0" customWidth="1"/>
    <col min="17" max="17" width="25.8515625" style="59" customWidth="1"/>
    <col min="18" max="18" width="14.7109375" style="0" customWidth="1"/>
    <col min="19" max="19" width="16.421875" style="0" customWidth="1"/>
    <col min="20" max="20" width="17.8515625" style="0" customWidth="1"/>
    <col min="21" max="21" width="25.8515625" style="0" customWidth="1"/>
    <col min="22" max="25" width="13.00390625" style="0" customWidth="1"/>
  </cols>
  <sheetData>
    <row r="1" spans="1:6" ht="12.75">
      <c r="A1" s="197" t="s">
        <v>26</v>
      </c>
      <c r="B1" s="198"/>
      <c r="C1" s="198"/>
      <c r="D1" s="198"/>
      <c r="E1" s="198"/>
      <c r="F1" s="199"/>
    </row>
    <row r="2" spans="1:6" ht="12.75">
      <c r="A2" s="210" t="s">
        <v>46</v>
      </c>
      <c r="B2" s="211"/>
      <c r="C2" s="211"/>
      <c r="D2" s="211"/>
      <c r="E2" s="211"/>
      <c r="F2" s="212"/>
    </row>
    <row r="3" spans="1:6" ht="13.5" thickBot="1">
      <c r="A3" s="203" t="s">
        <v>47</v>
      </c>
      <c r="B3" s="204"/>
      <c r="C3" s="204"/>
      <c r="D3" s="204"/>
      <c r="E3" s="204"/>
      <c r="F3" s="205"/>
    </row>
    <row r="4" spans="1:4" ht="12.75">
      <c r="A4" s="60"/>
      <c r="B4" s="61"/>
      <c r="C4" s="213"/>
      <c r="D4" s="213"/>
    </row>
    <row r="5" spans="5:29" ht="12.75">
      <c r="E5" s="65"/>
      <c r="F5" s="66"/>
      <c r="G5" s="33"/>
      <c r="H5" s="33"/>
      <c r="I5" s="33"/>
      <c r="J5" s="33"/>
      <c r="K5" s="33"/>
      <c r="L5" s="33"/>
      <c r="M5" s="33"/>
      <c r="N5" s="33"/>
      <c r="O5" s="33"/>
      <c r="P5" s="33"/>
      <c r="Q5" s="67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2.75" customHeight="1">
      <c r="A6" s="68"/>
      <c r="B6" s="209" t="s">
        <v>48</v>
      </c>
      <c r="C6" s="209"/>
      <c r="D6" s="209"/>
      <c r="E6" s="69"/>
      <c r="F6" s="70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33"/>
      <c r="AA6" s="33"/>
      <c r="AB6" s="33"/>
      <c r="AC6" s="33"/>
    </row>
    <row r="7" spans="1:29" s="81" customFormat="1" ht="25.5" customHeight="1">
      <c r="A7" s="73" t="s">
        <v>49</v>
      </c>
      <c r="B7" s="74" t="s">
        <v>50</v>
      </c>
      <c r="C7" s="74" t="s">
        <v>51</v>
      </c>
      <c r="D7" s="75" t="s">
        <v>52</v>
      </c>
      <c r="E7" s="76" t="s">
        <v>53</v>
      </c>
      <c r="F7" s="77" t="s">
        <v>54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  <c r="R7" s="78"/>
      <c r="S7" s="78"/>
      <c r="T7" s="78"/>
      <c r="U7" s="78"/>
      <c r="V7" s="78"/>
      <c r="W7" s="78"/>
      <c r="X7" s="78"/>
      <c r="Y7" s="78"/>
      <c r="Z7" s="80"/>
      <c r="AA7" s="80"/>
      <c r="AB7" s="80"/>
      <c r="AC7" s="80"/>
    </row>
    <row r="8" spans="1:29" ht="63" customHeight="1">
      <c r="A8" s="82">
        <v>1</v>
      </c>
      <c r="B8" s="83" t="s">
        <v>55</v>
      </c>
      <c r="C8" s="84" t="s">
        <v>56</v>
      </c>
      <c r="D8" s="85">
        <v>52592</v>
      </c>
      <c r="E8" s="86">
        <v>29100</v>
      </c>
      <c r="F8" s="87" t="s">
        <v>57</v>
      </c>
      <c r="G8" s="111" t="s">
        <v>92</v>
      </c>
      <c r="H8" s="88"/>
      <c r="I8" s="89"/>
      <c r="J8" s="33"/>
      <c r="K8" s="88"/>
      <c r="L8" s="33"/>
      <c r="M8" s="33"/>
      <c r="N8" s="33"/>
      <c r="O8" s="88"/>
      <c r="P8" s="33"/>
      <c r="Q8" s="90"/>
      <c r="R8" s="33"/>
      <c r="S8" s="91"/>
      <c r="T8" s="33"/>
      <c r="U8" s="33"/>
      <c r="V8" s="33"/>
      <c r="W8" s="88"/>
      <c r="X8" s="33"/>
      <c r="Y8" s="33"/>
      <c r="Z8" s="33"/>
      <c r="AA8" s="33"/>
      <c r="AB8" s="33"/>
      <c r="AC8" s="33"/>
    </row>
    <row r="9" spans="1:29" ht="41.25" customHeight="1">
      <c r="A9" s="82">
        <v>2</v>
      </c>
      <c r="B9" s="92" t="s">
        <v>58</v>
      </c>
      <c r="C9" s="84" t="s">
        <v>59</v>
      </c>
      <c r="D9" s="85">
        <v>28182</v>
      </c>
      <c r="E9" s="86">
        <v>28182</v>
      </c>
      <c r="F9" s="87" t="s">
        <v>60</v>
      </c>
      <c r="G9" s="33" t="s">
        <v>61</v>
      </c>
      <c r="H9" s="33"/>
      <c r="I9" s="66"/>
      <c r="J9" s="33"/>
      <c r="K9" s="33"/>
      <c r="L9" s="33"/>
      <c r="M9" s="33"/>
      <c r="N9" s="33"/>
      <c r="O9" s="88"/>
      <c r="P9" s="33"/>
      <c r="Q9" s="90"/>
      <c r="R9" s="33"/>
      <c r="S9" s="88"/>
      <c r="T9" s="33"/>
      <c r="U9" s="33"/>
      <c r="V9" s="33"/>
      <c r="W9" s="93"/>
      <c r="X9" s="33"/>
      <c r="Y9" s="33"/>
      <c r="Z9" s="33"/>
      <c r="AA9" s="33"/>
      <c r="AB9" s="33"/>
      <c r="AC9" s="33"/>
    </row>
    <row r="10" spans="1:29" ht="32.25" customHeight="1">
      <c r="A10" s="82">
        <v>3</v>
      </c>
      <c r="B10" s="92" t="s">
        <v>62</v>
      </c>
      <c r="C10" s="84" t="s">
        <v>63</v>
      </c>
      <c r="D10" s="85">
        <v>55946</v>
      </c>
      <c r="E10" s="86">
        <v>19000</v>
      </c>
      <c r="F10" s="87" t="s">
        <v>64</v>
      </c>
      <c r="G10" s="33" t="s">
        <v>61</v>
      </c>
      <c r="H10" s="33"/>
      <c r="I10" s="66"/>
      <c r="J10" s="33"/>
      <c r="K10" s="88"/>
      <c r="L10" s="33"/>
      <c r="M10" s="33"/>
      <c r="N10" s="33"/>
      <c r="O10" s="88"/>
      <c r="P10" s="33"/>
      <c r="Q10" s="90"/>
      <c r="R10" s="33"/>
      <c r="S10" s="65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25.5" customHeight="1">
      <c r="A11" s="82">
        <v>4</v>
      </c>
      <c r="B11" s="92" t="s">
        <v>65</v>
      </c>
      <c r="C11" s="84" t="s">
        <v>66</v>
      </c>
      <c r="D11" s="85">
        <v>2000</v>
      </c>
      <c r="E11" s="86">
        <v>2000</v>
      </c>
      <c r="F11" s="87" t="s">
        <v>60</v>
      </c>
      <c r="G11" s="33" t="s">
        <v>67</v>
      </c>
      <c r="H11" s="33"/>
      <c r="I11" s="66"/>
      <c r="J11" s="33"/>
      <c r="K11" s="33"/>
      <c r="L11" s="33"/>
      <c r="M11" s="33"/>
      <c r="N11" s="33"/>
      <c r="O11" s="88"/>
      <c r="P11" s="33"/>
      <c r="Q11" s="90"/>
      <c r="R11" s="33"/>
      <c r="S11" s="65"/>
      <c r="T11" s="33"/>
      <c r="U11" s="33"/>
      <c r="V11" s="33"/>
      <c r="W11" s="33"/>
      <c r="X11" s="33"/>
      <c r="Y11" s="94"/>
      <c r="Z11" s="33"/>
      <c r="AA11" s="33"/>
      <c r="AB11" s="33"/>
      <c r="AC11" s="33"/>
    </row>
    <row r="12" spans="1:29" ht="29.25" customHeight="1">
      <c r="A12" s="82">
        <v>5</v>
      </c>
      <c r="B12" s="92" t="s">
        <v>65</v>
      </c>
      <c r="C12" s="84" t="s">
        <v>68</v>
      </c>
      <c r="D12" s="85">
        <v>27500</v>
      </c>
      <c r="E12" s="86">
        <v>27500</v>
      </c>
      <c r="F12" s="87" t="s">
        <v>60</v>
      </c>
      <c r="G12" s="33" t="s">
        <v>93</v>
      </c>
      <c r="H12" s="33"/>
      <c r="I12" s="66"/>
      <c r="J12" s="33"/>
      <c r="K12" s="88"/>
      <c r="L12" s="33"/>
      <c r="M12" s="33"/>
      <c r="N12" s="33"/>
      <c r="O12" s="88"/>
      <c r="P12" s="33"/>
      <c r="Q12" s="90"/>
      <c r="R12" s="33"/>
      <c r="S12" s="65"/>
      <c r="T12" s="33"/>
      <c r="U12" s="33"/>
      <c r="V12" s="33"/>
      <c r="W12" s="33"/>
      <c r="X12" s="33"/>
      <c r="Y12" s="94"/>
      <c r="Z12" s="33"/>
      <c r="AA12" s="33"/>
      <c r="AB12" s="33"/>
      <c r="AC12" s="33"/>
    </row>
    <row r="13" spans="1:29" ht="28.5" customHeight="1">
      <c r="A13" s="82">
        <v>6</v>
      </c>
      <c r="B13" s="92" t="s">
        <v>69</v>
      </c>
      <c r="C13" s="84" t="s">
        <v>70</v>
      </c>
      <c r="D13" s="85">
        <v>57910</v>
      </c>
      <c r="E13" s="86">
        <v>33600</v>
      </c>
      <c r="F13" s="87" t="s">
        <v>71</v>
      </c>
      <c r="G13" s="33" t="s">
        <v>72</v>
      </c>
      <c r="H13" s="66"/>
      <c r="J13" s="33"/>
      <c r="K13" s="33"/>
      <c r="L13" s="33"/>
      <c r="M13" s="33"/>
      <c r="N13" s="33"/>
      <c r="O13" s="88"/>
      <c r="P13" s="33"/>
      <c r="Q13" s="90"/>
      <c r="R13" s="33"/>
      <c r="S13" s="65"/>
      <c r="T13" s="33"/>
      <c r="U13" s="33"/>
      <c r="V13" s="33"/>
      <c r="W13" s="33"/>
      <c r="X13" s="33"/>
      <c r="Y13" s="94"/>
      <c r="Z13" s="33"/>
      <c r="AA13" s="33"/>
      <c r="AB13" s="33"/>
      <c r="AC13" s="33"/>
    </row>
    <row r="14" spans="1:29" ht="27.75" customHeight="1">
      <c r="A14" s="82">
        <v>7</v>
      </c>
      <c r="B14" s="92" t="s">
        <v>73</v>
      </c>
      <c r="C14" s="84" t="s">
        <v>74</v>
      </c>
      <c r="D14" s="85">
        <v>11000</v>
      </c>
      <c r="E14" s="86">
        <v>11000</v>
      </c>
      <c r="F14" s="87" t="s">
        <v>60</v>
      </c>
      <c r="G14" s="88" t="s">
        <v>72</v>
      </c>
      <c r="H14" s="33"/>
      <c r="I14" s="66"/>
      <c r="J14" s="33"/>
      <c r="K14" s="33"/>
      <c r="L14" s="33"/>
      <c r="M14" s="33"/>
      <c r="N14" s="33"/>
      <c r="O14" s="88"/>
      <c r="P14" s="33"/>
      <c r="Q14" s="90"/>
      <c r="R14" s="33"/>
      <c r="S14" s="65"/>
      <c r="T14" s="33"/>
      <c r="U14" s="33"/>
      <c r="V14" s="33"/>
      <c r="W14" s="33"/>
      <c r="X14" s="33"/>
      <c r="Y14" s="94"/>
      <c r="Z14" s="33"/>
      <c r="AA14" s="33"/>
      <c r="AB14" s="33"/>
      <c r="AC14" s="33"/>
    </row>
    <row r="15" spans="1:29" ht="31.5" customHeight="1">
      <c r="A15" s="82">
        <v>8</v>
      </c>
      <c r="B15" s="92" t="s">
        <v>75</v>
      </c>
      <c r="C15" s="84" t="s">
        <v>76</v>
      </c>
      <c r="D15" s="85">
        <v>30000</v>
      </c>
      <c r="E15" s="86">
        <v>30000</v>
      </c>
      <c r="F15" s="87" t="s">
        <v>60</v>
      </c>
      <c r="G15" s="88" t="s">
        <v>72</v>
      </c>
      <c r="H15" s="33"/>
      <c r="I15" s="66"/>
      <c r="J15" s="33"/>
      <c r="K15" s="33"/>
      <c r="L15" s="33"/>
      <c r="M15" s="33"/>
      <c r="N15" s="33"/>
      <c r="O15" s="88"/>
      <c r="P15" s="33"/>
      <c r="Q15" s="90"/>
      <c r="R15" s="33"/>
      <c r="S15" s="33"/>
      <c r="T15" s="33"/>
      <c r="U15" s="33"/>
      <c r="V15" s="33"/>
      <c r="W15" s="33"/>
      <c r="X15" s="33"/>
      <c r="Y15" s="94"/>
      <c r="Z15" s="33"/>
      <c r="AA15" s="33"/>
      <c r="AB15" s="33"/>
      <c r="AC15" s="33"/>
    </row>
    <row r="16" spans="1:29" ht="39" customHeight="1">
      <c r="A16" s="82">
        <v>9</v>
      </c>
      <c r="B16" s="92" t="s">
        <v>77</v>
      </c>
      <c r="C16" s="84" t="s">
        <v>78</v>
      </c>
      <c r="D16" s="85">
        <v>64738</v>
      </c>
      <c r="E16" s="86">
        <v>40238</v>
      </c>
      <c r="F16" s="87" t="s">
        <v>79</v>
      </c>
      <c r="G16" s="88" t="s">
        <v>80</v>
      </c>
      <c r="H16" s="33"/>
      <c r="I16" s="66"/>
      <c r="J16" s="33"/>
      <c r="K16" s="33"/>
      <c r="L16" s="33"/>
      <c r="M16" s="33"/>
      <c r="N16" s="33"/>
      <c r="O16" s="88"/>
      <c r="P16" s="33"/>
      <c r="Q16" s="90"/>
      <c r="R16" s="33"/>
      <c r="S16" s="65"/>
      <c r="T16" s="33"/>
      <c r="U16" s="33"/>
      <c r="V16" s="95"/>
      <c r="W16" s="33"/>
      <c r="X16" s="33"/>
      <c r="Y16" s="94"/>
      <c r="Z16" s="33"/>
      <c r="AA16" s="33"/>
      <c r="AB16" s="33"/>
      <c r="AC16" s="33"/>
    </row>
    <row r="17" spans="1:29" ht="35.25" customHeight="1">
      <c r="A17" s="82">
        <v>10</v>
      </c>
      <c r="B17" s="92" t="s">
        <v>69</v>
      </c>
      <c r="C17" s="84" t="s">
        <v>81</v>
      </c>
      <c r="D17" s="85">
        <v>40850</v>
      </c>
      <c r="E17" s="86">
        <v>25000</v>
      </c>
      <c r="F17" s="87" t="s">
        <v>82</v>
      </c>
      <c r="G17" s="88" t="s">
        <v>83</v>
      </c>
      <c r="H17" s="33"/>
      <c r="I17" s="66"/>
      <c r="J17" s="33"/>
      <c r="K17" s="33"/>
      <c r="L17" s="33"/>
      <c r="M17" s="33"/>
      <c r="N17" s="33"/>
      <c r="O17" s="88"/>
      <c r="P17" s="33"/>
      <c r="Q17" s="90"/>
      <c r="R17" s="33"/>
      <c r="S17" s="65"/>
      <c r="T17" s="33"/>
      <c r="U17" s="33"/>
      <c r="V17" s="33"/>
      <c r="W17" s="33"/>
      <c r="X17" s="33"/>
      <c r="Y17" s="94"/>
      <c r="Z17" s="33"/>
      <c r="AA17" s="33"/>
      <c r="AB17" s="33"/>
      <c r="AC17" s="33"/>
    </row>
    <row r="18" spans="1:29" ht="31.5" customHeight="1">
      <c r="A18" s="82">
        <v>11</v>
      </c>
      <c r="B18" s="92" t="s">
        <v>84</v>
      </c>
      <c r="C18" s="84" t="s">
        <v>85</v>
      </c>
      <c r="D18" s="85">
        <v>26275</v>
      </c>
      <c r="E18" s="86">
        <v>30000</v>
      </c>
      <c r="F18" s="87" t="s">
        <v>86</v>
      </c>
      <c r="G18" s="88" t="s">
        <v>83</v>
      </c>
      <c r="H18" s="33"/>
      <c r="I18" s="66"/>
      <c r="J18" s="33"/>
      <c r="K18" s="33"/>
      <c r="L18" s="33"/>
      <c r="M18" s="33"/>
      <c r="N18" s="33"/>
      <c r="O18" s="88"/>
      <c r="P18" s="33"/>
      <c r="Q18" s="90"/>
      <c r="R18" s="33"/>
      <c r="S18" s="65"/>
      <c r="T18" s="33"/>
      <c r="U18" s="33"/>
      <c r="V18" s="33"/>
      <c r="W18" s="33"/>
      <c r="X18" s="33"/>
      <c r="Y18" s="94"/>
      <c r="Z18" s="33"/>
      <c r="AA18" s="33"/>
      <c r="AB18" s="33"/>
      <c r="AC18" s="33"/>
    </row>
    <row r="19" spans="1:29" ht="12.75">
      <c r="A19" s="96"/>
      <c r="B19" s="97"/>
      <c r="C19" s="98" t="s">
        <v>0</v>
      </c>
      <c r="D19" s="99">
        <f>SUM(D8:D18)</f>
        <v>396993</v>
      </c>
      <c r="E19" s="100">
        <f>SUM(E8:E18)</f>
        <v>275620</v>
      </c>
      <c r="F19" s="101" t="s">
        <v>87</v>
      </c>
      <c r="G19" s="102"/>
      <c r="H19" s="33"/>
      <c r="I19" s="33"/>
      <c r="J19" s="33"/>
      <c r="K19" s="33"/>
      <c r="L19" s="33"/>
      <c r="M19" s="33"/>
      <c r="N19" s="33"/>
      <c r="O19" s="102"/>
      <c r="P19" s="33"/>
      <c r="Q19" s="67"/>
      <c r="R19" s="33"/>
      <c r="S19" s="102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12.75">
      <c r="A20" s="103"/>
      <c r="B20" s="104"/>
      <c r="C20" s="98" t="s">
        <v>88</v>
      </c>
      <c r="D20" s="151"/>
      <c r="E20" s="105">
        <f>E19-300000</f>
        <v>-24380</v>
      </c>
      <c r="F20" s="87" t="s">
        <v>89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6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5:29" ht="12.75">
      <c r="E21" s="65"/>
      <c r="F21" s="6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67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13.5">
      <c r="A22" s="62"/>
      <c r="B22" s="106"/>
      <c r="C22" s="107"/>
      <c r="E22" s="65"/>
      <c r="F22" s="6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6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13.5">
      <c r="A23" s="62"/>
      <c r="C23" s="106"/>
      <c r="D23" s="107"/>
      <c r="E23" s="65"/>
      <c r="F23" s="66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67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13.5">
      <c r="A24" s="62"/>
      <c r="B24" s="106"/>
      <c r="C24" s="107"/>
      <c r="E24" s="65"/>
      <c r="F24" s="6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67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13.5">
      <c r="A25" s="62"/>
      <c r="B25" s="106"/>
      <c r="C25" s="107"/>
      <c r="E25" s="65"/>
      <c r="F25" s="66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67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ht="13.5">
      <c r="A26" s="62"/>
      <c r="B26" s="106"/>
      <c r="C26" s="107"/>
      <c r="E26" s="65"/>
      <c r="F26" s="66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67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ht="12.75">
      <c r="A27" s="62"/>
      <c r="B27" s="32"/>
      <c r="C27" s="32"/>
      <c r="D27" s="32"/>
      <c r="E27" s="65"/>
      <c r="F27" s="66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7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12.75">
      <c r="A28" s="62"/>
      <c r="B28" s="32"/>
      <c r="C28" s="32"/>
      <c r="D28" s="32"/>
      <c r="E28" s="65"/>
      <c r="F28" s="6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7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12.75">
      <c r="A29" s="62"/>
      <c r="B29" s="32"/>
      <c r="C29" s="32"/>
      <c r="D29" s="32"/>
      <c r="E29" s="65"/>
      <c r="F29" s="6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67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12.75">
      <c r="A30" s="62"/>
      <c r="B30" s="32"/>
      <c r="C30" s="32"/>
      <c r="D30" s="32"/>
      <c r="E30" s="65"/>
      <c r="F30" s="6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7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ht="12.75">
      <c r="A31" s="62"/>
      <c r="B31" s="32"/>
      <c r="C31" s="32"/>
      <c r="D31" s="32"/>
      <c r="E31" s="65"/>
      <c r="F31" s="6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67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12.75">
      <c r="A32" s="62"/>
      <c r="B32" s="32"/>
      <c r="C32" s="32"/>
      <c r="D32" s="32"/>
      <c r="E32" s="65"/>
      <c r="F32" s="6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67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12.75">
      <c r="A33" s="62"/>
      <c r="B33" s="32"/>
      <c r="C33" s="32"/>
      <c r="D33" s="32"/>
      <c r="E33" s="65"/>
      <c r="F33" s="6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67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12.75">
      <c r="A34" s="62"/>
      <c r="B34" s="32"/>
      <c r="C34" s="32"/>
      <c r="D34" s="32"/>
      <c r="E34" s="65"/>
      <c r="F34" s="66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67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12.75">
      <c r="A35" s="62"/>
      <c r="B35" s="32"/>
      <c r="C35" s="32"/>
      <c r="D35" s="32"/>
      <c r="E35" s="65"/>
      <c r="F35" s="6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67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12.75">
      <c r="A36" s="62"/>
      <c r="B36" s="32"/>
      <c r="C36" s="32"/>
      <c r="D36" s="32"/>
      <c r="E36" s="65"/>
      <c r="F36" s="6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67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ht="12.75">
      <c r="A37" s="62"/>
      <c r="B37" s="32"/>
      <c r="C37" s="32"/>
      <c r="D37" s="32"/>
      <c r="E37" s="65"/>
      <c r="F37" s="6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7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ht="12.75">
      <c r="A38" s="62"/>
      <c r="B38" s="32"/>
      <c r="C38" s="32"/>
      <c r="D38" s="32"/>
      <c r="E38" s="65"/>
      <c r="F38" s="6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7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ht="12.75">
      <c r="A39" s="62"/>
      <c r="B39" s="32"/>
      <c r="C39" s="32"/>
      <c r="D39" s="32"/>
      <c r="E39" s="65"/>
      <c r="F39" s="66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7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2.75">
      <c r="A40" s="62"/>
      <c r="B40" s="32"/>
      <c r="C40" s="32"/>
      <c r="D40" s="32"/>
      <c r="E40" s="65"/>
      <c r="F40" s="66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67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ht="12.75">
      <c r="A41" s="62"/>
      <c r="B41" s="32"/>
      <c r="C41" s="32"/>
      <c r="D41" s="32"/>
      <c r="E41" s="65"/>
      <c r="F41" s="6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67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ht="12.75">
      <c r="A42" s="62"/>
      <c r="B42" s="32"/>
      <c r="C42" s="32"/>
      <c r="D42" s="32"/>
      <c r="E42" s="65"/>
      <c r="F42" s="66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67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5:29" ht="12.75">
      <c r="E43" s="65"/>
      <c r="F43" s="6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67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5:29" ht="12.75">
      <c r="E44" s="65"/>
      <c r="F44" s="6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67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5:28" ht="12.75">
      <c r="E45" s="108"/>
      <c r="F45" s="109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10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5:28" ht="12.75">
      <c r="E46" s="108"/>
      <c r="F46" s="109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110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5:28" ht="12.75">
      <c r="E47" s="108"/>
      <c r="F47" s="109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110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5:28" ht="12.75">
      <c r="E48" s="108"/>
      <c r="F48" s="10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110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5:28" ht="12.75">
      <c r="E49" s="108"/>
      <c r="F49" s="109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110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5:28" ht="12.75">
      <c r="E50" s="108"/>
      <c r="F50" s="109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10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5:28" ht="12.75">
      <c r="E51" s="108"/>
      <c r="F51" s="109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110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5:28" ht="12.75">
      <c r="E52" s="108"/>
      <c r="F52" s="109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110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5:28" ht="12.75">
      <c r="E53" s="108"/>
      <c r="F53" s="109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110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5:28" ht="12.75">
      <c r="E54" s="108"/>
      <c r="F54" s="109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110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5:28" ht="12.75">
      <c r="E55" s="108"/>
      <c r="F55" s="109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110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5:28" ht="12.75">
      <c r="E56" s="108"/>
      <c r="F56" s="109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110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5:28" ht="12.75">
      <c r="E57" s="108"/>
      <c r="F57" s="109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110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5:28" ht="12.75">
      <c r="E58" s="108"/>
      <c r="F58" s="109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110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5:28" ht="12.75">
      <c r="E59" s="108"/>
      <c r="F59" s="109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110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5:28" ht="12.75">
      <c r="E60" s="108"/>
      <c r="F60" s="109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110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5:28" ht="12.75">
      <c r="E61" s="108"/>
      <c r="F61" s="109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110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5:28" ht="12.75">
      <c r="E62" s="108"/>
      <c r="F62" s="109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110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5:28" ht="12.75">
      <c r="E63" s="108"/>
      <c r="F63" s="109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110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5:28" ht="12.75">
      <c r="E64" s="108"/>
      <c r="F64" s="109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110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5:28" ht="12.75">
      <c r="E65" s="108"/>
      <c r="F65" s="109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110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5:28" ht="12.75">
      <c r="E66" s="108"/>
      <c r="F66" s="109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110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5:28" ht="12.75">
      <c r="E67" s="108"/>
      <c r="F67" s="109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110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5:28" ht="12.75">
      <c r="E68" s="108"/>
      <c r="F68" s="109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110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</sheetData>
  <sheetProtection/>
  <mergeCells count="5">
    <mergeCell ref="B6:D6"/>
    <mergeCell ref="A2:F2"/>
    <mergeCell ref="A3:F3"/>
    <mergeCell ref="A1:F1"/>
    <mergeCell ref="C4:D4"/>
  </mergeCells>
  <printOptions horizontalCentered="1" verticalCentered="1"/>
  <pageMargins left="0.2" right="0.27" top="0.28" bottom="1" header="0.17" footer="0.5"/>
  <pageSetup horizontalDpi="600" verticalDpi="600" orientation="landscape" r:id="rId2"/>
  <headerFooter alignWithMargins="0">
    <oddFooter>&amp;LPrepared by: Ben Hassankhani&amp;CDry Grain Pulses CRSP&amp;RPage 6
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:P3"/>
    </sheetView>
  </sheetViews>
  <sheetFormatPr defaultColWidth="9.140625" defaultRowHeight="12.75"/>
  <cols>
    <col min="2" max="2" width="16.00390625" style="0" bestFit="1" customWidth="1"/>
    <col min="3" max="3" width="18.57421875" style="0" bestFit="1" customWidth="1"/>
    <col min="4" max="4" width="15.28125" style="0" bestFit="1" customWidth="1"/>
  </cols>
  <sheetData>
    <row r="1" spans="1:16" ht="15.75">
      <c r="A1" s="214" t="str">
        <f>'BUDGET V EXPENSE'!A1:G3</f>
        <v>DRY GRAIN PULSES CRSP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</row>
    <row r="2" spans="1:16" ht="15.75">
      <c r="A2" s="217" t="s">
        <v>116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</row>
    <row r="3" spans="1:16" ht="16.5" thickBot="1">
      <c r="A3" s="220" t="s">
        <v>117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</row>
    <row r="5" spans="2:4" ht="12.75">
      <c r="B5" t="s">
        <v>20</v>
      </c>
      <c r="C5" t="s">
        <v>22</v>
      </c>
      <c r="D5" t="s">
        <v>21</v>
      </c>
    </row>
    <row r="6" spans="2:4" ht="12.75">
      <c r="B6" s="23" t="s">
        <v>114</v>
      </c>
      <c r="C6" s="147">
        <v>121847.75</v>
      </c>
      <c r="D6" s="147">
        <v>67848.79</v>
      </c>
    </row>
    <row r="7" spans="2:4" ht="12.75">
      <c r="B7" s="23" t="s">
        <v>115</v>
      </c>
      <c r="C7" s="147">
        <f>C6*2</f>
        <v>243695.5</v>
      </c>
      <c r="D7" s="147">
        <f>191681.59+D6</f>
        <v>259530.38</v>
      </c>
    </row>
    <row r="8" spans="2:4" ht="12.75">
      <c r="B8" s="23" t="s">
        <v>14</v>
      </c>
      <c r="C8" s="148">
        <f>C6*3</f>
        <v>365543.25</v>
      </c>
      <c r="D8" s="147">
        <f>124369.61+D7</f>
        <v>383899.99</v>
      </c>
    </row>
    <row r="9" spans="2:4" ht="12.75">
      <c r="B9" s="25" t="s">
        <v>15</v>
      </c>
      <c r="C9" s="148">
        <f>C6*4</f>
        <v>487391</v>
      </c>
      <c r="D9" s="147">
        <f>84211.1+D8</f>
        <v>468111.08999999997</v>
      </c>
    </row>
    <row r="10" spans="2:4" ht="12.75">
      <c r="B10" s="25" t="s">
        <v>16</v>
      </c>
      <c r="C10" s="148">
        <f>C6*5</f>
        <v>609238.75</v>
      </c>
      <c r="D10" s="147">
        <f>85513.34+D9</f>
        <v>553624.4299999999</v>
      </c>
    </row>
    <row r="11" spans="2:4" ht="12.75">
      <c r="B11" s="25" t="s">
        <v>17</v>
      </c>
      <c r="C11" s="148">
        <f>C6*6</f>
        <v>731086.5</v>
      </c>
      <c r="D11" s="147">
        <f>57628.57+D10</f>
        <v>611252.9999999999</v>
      </c>
    </row>
    <row r="12" spans="2:4" ht="12.75">
      <c r="B12" s="25" t="s">
        <v>18</v>
      </c>
      <c r="C12" s="148">
        <f>C6*7</f>
        <v>852934.25</v>
      </c>
      <c r="D12" s="147"/>
    </row>
    <row r="13" spans="2:4" ht="12.75">
      <c r="B13" s="25" t="s">
        <v>19</v>
      </c>
      <c r="C13" s="148">
        <f>C6*8</f>
        <v>974782</v>
      </c>
      <c r="D13" s="147"/>
    </row>
  </sheetData>
  <sheetProtection/>
  <mergeCells count="3">
    <mergeCell ref="A1:P1"/>
    <mergeCell ref="A2:P2"/>
    <mergeCell ref="A3:P3"/>
  </mergeCells>
  <printOptions verticalCentered="1"/>
  <pageMargins left="0" right="0" top="1" bottom="1" header="0.5" footer="0.5"/>
  <pageSetup horizontalDpi="600" verticalDpi="600" orientation="landscape" scale="80" r:id="rId2"/>
  <headerFooter alignWithMargins="0">
    <oddFooter>&amp;LPrepared by: Ben Hassankhani&amp;CDry Grain Pulses CRSP&amp;RPage 7
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15.421875" style="0" customWidth="1"/>
    <col min="4" max="5" width="18.8515625" style="0" customWidth="1"/>
    <col min="6" max="6" width="14.57421875" style="0" customWidth="1"/>
    <col min="7" max="7" width="9.421875" style="0" customWidth="1"/>
    <col min="10" max="10" width="9.421875" style="0" customWidth="1"/>
  </cols>
  <sheetData>
    <row r="1" spans="1:13" ht="15.75">
      <c r="A1" s="223" t="str">
        <f>'BUDGET V EXPENSE'!A1:G3</f>
        <v>DRY GRAIN PULSES CRSP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91"/>
    </row>
    <row r="2" spans="1:13" ht="15.75">
      <c r="A2" s="225" t="str">
        <f>'BUDGET V EXPENSE'!A2:G2</f>
        <v>COMPARISON OF PROJECTS BUDGET TO EXPENDITURES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192"/>
    </row>
    <row r="3" spans="1:13" ht="16.5" thickBot="1">
      <c r="A3" s="227" t="s">
        <v>27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193"/>
    </row>
    <row r="5" spans="2:4" ht="12.75">
      <c r="B5" t="s">
        <v>20</v>
      </c>
      <c r="C5" t="s">
        <v>22</v>
      </c>
      <c r="D5" t="s">
        <v>21</v>
      </c>
    </row>
    <row r="6" spans="2:7" ht="12.75">
      <c r="B6" s="23" t="s">
        <v>14</v>
      </c>
      <c r="C6" s="182">
        <v>48870</v>
      </c>
      <c r="D6" s="183">
        <v>0</v>
      </c>
      <c r="G6" s="24"/>
    </row>
    <row r="7" spans="2:7" ht="12.75">
      <c r="B7" s="25" t="s">
        <v>15</v>
      </c>
      <c r="C7" s="182">
        <f>C6*2</f>
        <v>97740</v>
      </c>
      <c r="D7" s="183">
        <v>0</v>
      </c>
      <c r="G7" s="24"/>
    </row>
    <row r="8" spans="2:7" ht="12.75">
      <c r="B8" s="25" t="s">
        <v>16</v>
      </c>
      <c r="C8" s="182">
        <f>C6*3</f>
        <v>146610</v>
      </c>
      <c r="D8" s="183">
        <v>79072</v>
      </c>
      <c r="G8" s="24"/>
    </row>
    <row r="9" spans="2:7" ht="12.75">
      <c r="B9" s="25" t="s">
        <v>17</v>
      </c>
      <c r="C9" s="182">
        <f>C6*4</f>
        <v>195480</v>
      </c>
      <c r="D9" s="183">
        <f>D8+21105+53141</f>
        <v>153318</v>
      </c>
      <c r="G9" s="24"/>
    </row>
    <row r="10" spans="2:7" ht="12.75">
      <c r="B10" s="25" t="s">
        <v>18</v>
      </c>
      <c r="C10" s="182">
        <f>+C6*5</f>
        <v>244350</v>
      </c>
      <c r="D10" s="183"/>
      <c r="G10" s="24"/>
    </row>
    <row r="11" spans="2:7" ht="12.75">
      <c r="B11" s="25" t="s">
        <v>19</v>
      </c>
      <c r="C11" s="182">
        <f>+C6*6</f>
        <v>293220</v>
      </c>
      <c r="D11" s="183"/>
      <c r="G11" s="24"/>
    </row>
    <row r="12" ht="12.75">
      <c r="C12" s="24"/>
    </row>
  </sheetData>
  <sheetProtection/>
  <mergeCells count="3">
    <mergeCell ref="A1:L1"/>
    <mergeCell ref="A2:L2"/>
    <mergeCell ref="A3:L3"/>
  </mergeCells>
  <printOptions horizontalCentered="1"/>
  <pageMargins left="0.21" right="0.21" top="0.65" bottom="1" header="0.5" footer="0.5"/>
  <pageSetup horizontalDpi="600" verticalDpi="600" orientation="landscape" scale="90" r:id="rId2"/>
  <headerFooter alignWithMargins="0">
    <oddFooter>&amp;LPrepraed by: Ben Hassankhani&amp;CDry Grain Pulses CRSP&amp;RPage 8 
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7.8515625" style="0" customWidth="1"/>
    <col min="2" max="2" width="14.140625" style="0" customWidth="1"/>
    <col min="3" max="3" width="15.421875" style="0" customWidth="1"/>
    <col min="4" max="5" width="18.8515625" style="0" customWidth="1"/>
    <col min="6" max="6" width="14.57421875" style="0" customWidth="1"/>
    <col min="7" max="7" width="9.421875" style="0" customWidth="1"/>
    <col min="10" max="10" width="9.421875" style="0" customWidth="1"/>
  </cols>
  <sheetData>
    <row r="1" spans="1:13" ht="15.75">
      <c r="A1" s="214" t="str">
        <f>'BUDGET V EXPENSE'!A1:G3</f>
        <v>DRY GRAIN PULSES CRSP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</row>
    <row r="2" spans="1:13" ht="15.75">
      <c r="A2" s="217" t="str">
        <f>'BUDGET V EXPENSE'!A2:G2</f>
        <v>COMPARISON OF PROJECTS BUDGET TO EXPENDITURES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ht="16.5" thickBot="1">
      <c r="A3" s="220" t="s">
        <v>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5" spans="2:4" ht="12.75">
      <c r="B5" t="s">
        <v>20</v>
      </c>
      <c r="C5" t="s">
        <v>22</v>
      </c>
      <c r="D5" t="s">
        <v>21</v>
      </c>
    </row>
    <row r="6" spans="2:7" ht="12.75">
      <c r="B6" s="23" t="s">
        <v>14</v>
      </c>
      <c r="C6" s="184">
        <v>48722</v>
      </c>
      <c r="D6" s="183">
        <v>0</v>
      </c>
      <c r="G6" s="26"/>
    </row>
    <row r="7" spans="2:7" ht="12.75">
      <c r="B7" s="25" t="s">
        <v>15</v>
      </c>
      <c r="C7" s="184">
        <f>C6*2</f>
        <v>97444</v>
      </c>
      <c r="D7" s="183">
        <f>D6+0</f>
        <v>0</v>
      </c>
      <c r="G7" s="26"/>
    </row>
    <row r="8" spans="2:7" ht="12.75">
      <c r="B8" s="25" t="s">
        <v>16</v>
      </c>
      <c r="C8" s="184">
        <f>C6*3</f>
        <v>146166</v>
      </c>
      <c r="D8" s="183">
        <f>D7+0</f>
        <v>0</v>
      </c>
      <c r="G8" s="26"/>
    </row>
    <row r="9" spans="2:7" ht="12.75">
      <c r="B9" s="25" t="s">
        <v>17</v>
      </c>
      <c r="C9" s="184">
        <f>C6*4</f>
        <v>194888</v>
      </c>
      <c r="D9" s="183">
        <f>D8+84044</f>
        <v>84044</v>
      </c>
      <c r="G9" s="26"/>
    </row>
    <row r="10" spans="2:7" ht="12.75">
      <c r="B10" s="25" t="s">
        <v>18</v>
      </c>
      <c r="C10" s="184">
        <f>+C6*5</f>
        <v>243610</v>
      </c>
      <c r="D10" s="183"/>
      <c r="G10" s="26"/>
    </row>
    <row r="11" spans="2:7" ht="12.75">
      <c r="B11" s="25" t="s">
        <v>19</v>
      </c>
      <c r="C11" s="184">
        <f>+C6*6</f>
        <v>292332</v>
      </c>
      <c r="D11" s="183"/>
      <c r="G11" s="27"/>
    </row>
    <row r="12" ht="12.75">
      <c r="C12" s="27"/>
    </row>
  </sheetData>
  <sheetProtection/>
  <mergeCells count="3">
    <mergeCell ref="A1:M1"/>
    <mergeCell ref="A2:M2"/>
    <mergeCell ref="A3:M3"/>
  </mergeCells>
  <printOptions horizontalCentered="1"/>
  <pageMargins left="0.21" right="0.21" top="1" bottom="1" header="0.5" footer="0.5"/>
  <pageSetup horizontalDpi="600" verticalDpi="600" orientation="landscape" scale="85" r:id="rId2"/>
  <headerFooter alignWithMargins="0">
    <oddFooter>&amp;LPrepared by: Ben Hassankhani&amp;CDry Grain Pulses CRSP&amp;RPage 9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BEAN/COWPEA CRSP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HASSANKHANI</dc:creator>
  <cp:keywords/>
  <dc:description/>
  <cp:lastModifiedBy>BEN HASSANKHANI</cp:lastModifiedBy>
  <cp:lastPrinted>2009-05-19T19:35:28Z</cp:lastPrinted>
  <dcterms:created xsi:type="dcterms:W3CDTF">2009-01-20T15:21:30Z</dcterms:created>
  <dcterms:modified xsi:type="dcterms:W3CDTF">2012-04-27T12:20:19Z</dcterms:modified>
  <cp:category/>
  <cp:version/>
  <cp:contentType/>
  <cp:contentStatus/>
</cp:coreProperties>
</file>